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4675" windowHeight="12555" activeTab="0"/>
  </bookViews>
  <sheets>
    <sheet name="Liste des tableaux" sheetId="1" r:id="rId1"/>
    <sheet name="Chiffres clés - 1" sheetId="2" r:id="rId2"/>
    <sheet name="Chiffres clés - 2" sheetId="3" r:id="rId3"/>
    <sheet name="Chiffres clés - 3" sheetId="4" r:id="rId4"/>
    <sheet name="MIG1a" sheetId="5" r:id="rId5"/>
    <sheet name="MIG1b" sheetId="6" r:id="rId6"/>
    <sheet name="MIG1c" sheetId="7" r:id="rId7"/>
    <sheet name="MIG1d" sheetId="8" r:id="rId8"/>
    <sheet name="MIG2a" sheetId="9" r:id="rId9"/>
    <sheet name="MIG2b" sheetId="10" r:id="rId10"/>
    <sheet name="MIG2c" sheetId="11" r:id="rId11"/>
    <sheet name="MIG3a" sheetId="12" r:id="rId12"/>
    <sheet name="MIG3b" sheetId="13" r:id="rId13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<sst xmlns="http://schemas.openxmlformats.org/spreadsheetml/2006/main" count="132" uniqueCount="144">
  <si>
    <t>Migrations</t>
  </si>
  <si>
    <t>Listes des tableaux</t>
  </si>
  <si>
    <t>Chiffres clés sur les migrations (1)</t>
  </si>
  <si>
    <t>Chiffres clés - 1</t>
  </si>
  <si>
    <t>Chiffres clés sur les migrations (2)</t>
  </si>
  <si>
    <t>Chiffres clés - 2</t>
  </si>
  <si>
    <t>Chiffres clés sur les migrations (3)</t>
  </si>
  <si>
    <t>Chiffres clés - 3</t>
  </si>
  <si>
    <t>POPULATION PAR LIEU DE NAISSANCE</t>
  </si>
  <si>
    <t>MIG1a - Selon la subdivision de résidence et l'âge décennal</t>
  </si>
  <si>
    <t>MIG1a</t>
  </si>
  <si>
    <t>MIG1b - Selon la subdivision de résidence et la catégorie socio-professionnelle</t>
  </si>
  <si>
    <t>MIG1b</t>
  </si>
  <si>
    <t>POPULATION NEE HORS DE POLYNESIE FRANCAISE</t>
  </si>
  <si>
    <t>MIG1c - Selon le sexe et l'âge quinquennal</t>
  </si>
  <si>
    <t>MIG1c</t>
  </si>
  <si>
    <t>MIG1d - Selon la subdivision de résidence et l'âge décennal</t>
  </si>
  <si>
    <t>MIG1d</t>
  </si>
  <si>
    <t>POPULATION NEE AVANT LE 01/11/2002 PAR LIEU DE RESIDENCE ANTERIEURE (au 01/11/2002)</t>
  </si>
  <si>
    <t>MIG2a - Selon le sexe et l'âge quinquennal</t>
  </si>
  <si>
    <t>MIG2a</t>
  </si>
  <si>
    <t>MIG2b - Selon la subdivision de résidence et l'âge décennal</t>
  </si>
  <si>
    <t>MIG2b</t>
  </si>
  <si>
    <t>MIG2c - Selon la subdivision de résidence et la catégorie socio-professionnelle</t>
  </si>
  <si>
    <t>MIG2c</t>
  </si>
  <si>
    <t>MIG3a - Population ayant changé de commune de résidence entre 2002 et 2007
selon la subdivision de résidence et l'âge décennal</t>
  </si>
  <si>
    <t>MIG3a</t>
  </si>
  <si>
    <t>MIG3b - Migration inter-subdivisions entre 2002 et 2007
selon la subdivision de résidence</t>
  </si>
  <si>
    <t>MIG3b</t>
  </si>
  <si>
    <t>(*) Pour certains tableaux, données non collectées dans les établissements pénitentiaires</t>
  </si>
  <si>
    <t>Population selon le lieu de naissance</t>
  </si>
  <si>
    <t>Ensemble</t>
  </si>
  <si>
    <t>Polynésie française</t>
  </si>
  <si>
    <t>Métropole</t>
  </si>
  <si>
    <t>Nouvelle-Calédonie, Wallis et Futuna</t>
  </si>
  <si>
    <t>Autres collectivités d'outre-mer ou DOM</t>
  </si>
  <si>
    <t>Etranger</t>
  </si>
  <si>
    <t xml:space="preserve">Source : Recensement de la population 2012 - ISPF - INSEE </t>
  </si>
  <si>
    <t>Année d'installation en Polynésie des personnes nées hors de Polynésie (*)</t>
  </si>
  <si>
    <t>Avant 1970</t>
  </si>
  <si>
    <t>De 1970 à 1974</t>
  </si>
  <si>
    <t>De 1975 à 1979</t>
  </si>
  <si>
    <t>De 1980 à 1984</t>
  </si>
  <si>
    <t>De 1985 à 1989</t>
  </si>
  <si>
    <t>De 1990 à 1994</t>
  </si>
  <si>
    <t>De 1995 à 1999</t>
  </si>
  <si>
    <t>De 2000 à 2004</t>
  </si>
  <si>
    <t>De 2005 à 2009</t>
  </si>
  <si>
    <t>depuis 2009</t>
  </si>
  <si>
    <t>Population née avant le 20/08/07 selon le lieu de résidence antérieure au 20 Aout 2007 (*)</t>
  </si>
  <si>
    <t>Même logement</t>
  </si>
  <si>
    <t>Autre logement, même commune</t>
  </si>
  <si>
    <t>Autre commune, même subdivision</t>
  </si>
  <si>
    <t>Autre subdivision</t>
  </si>
  <si>
    <t>Hors Polynésie française</t>
  </si>
  <si>
    <t>Afrique</t>
  </si>
  <si>
    <t>Océanie</t>
  </si>
  <si>
    <t>Amérique</t>
  </si>
  <si>
    <t>Asie</t>
  </si>
  <si>
    <t>Europe</t>
  </si>
  <si>
    <t xml:space="preserve">(*) données non collectées dans les établissements pénitentiaires
</t>
  </si>
  <si>
    <t>Lieu de naissance</t>
  </si>
  <si>
    <t>Lieu de naissance
selon l'âge</t>
  </si>
  <si>
    <t>Nlle Cal.
Wallis</t>
  </si>
  <si>
    <t>COM-DOM</t>
  </si>
  <si>
    <t>Moins de 10 ans</t>
  </si>
  <si>
    <t>10-19 ans</t>
  </si>
  <si>
    <t>20-29 ans</t>
  </si>
  <si>
    <t>30-39 ans</t>
  </si>
  <si>
    <t>40-49 ans</t>
  </si>
  <si>
    <t>50-59 ans</t>
  </si>
  <si>
    <t>60-69 ans</t>
  </si>
  <si>
    <t>70-79 ans</t>
  </si>
  <si>
    <t>80 ans et plus</t>
  </si>
  <si>
    <t>Lieu de naissance
selon la catégorie socioprofessionnelle</t>
  </si>
  <si>
    <t>Agriculteurs exploitants</t>
  </si>
  <si>
    <t>Artisans, commerçants et chefs d'entreprise</t>
  </si>
  <si>
    <t>Cadres et professions intellectuelles supérieures</t>
  </si>
  <si>
    <t>Professions intermédiaires</t>
  </si>
  <si>
    <t>Employés</t>
  </si>
  <si>
    <t>Ouvriers</t>
  </si>
  <si>
    <t>Retraités</t>
  </si>
  <si>
    <t>Autres personnes sans activité professionnelle</t>
  </si>
  <si>
    <t>Résidence antérieure au 20 aout 2007 (*)</t>
  </si>
  <si>
    <t>Migrations résidentielles selon l'âge</t>
  </si>
  <si>
    <t>Né après le 20/08/2007 ou détenu</t>
  </si>
  <si>
    <t>Migrations résidentielles selon la catégorie socioprofessionnelle</t>
  </si>
  <si>
    <t>Né après le 30/10/2002 ou détenu</t>
  </si>
  <si>
    <t>Migrations résidentielles entre les archipels et arrivées de l'extérieur</t>
  </si>
  <si>
    <t>Population stable</t>
  </si>
  <si>
    <t>Arrivées</t>
  </si>
  <si>
    <t>Départs</t>
  </si>
  <si>
    <t>Solde migratoire interne</t>
  </si>
  <si>
    <t>Arrivées de l'extérieur</t>
  </si>
  <si>
    <t>Ensemble des archipels</t>
  </si>
  <si>
    <t>Iles Du Vent</t>
  </si>
  <si>
    <t>Iles Sous-Le-Vent</t>
  </si>
  <si>
    <t>Marquises</t>
  </si>
  <si>
    <t>Australes</t>
  </si>
  <si>
    <t>Tuamotu-Gambier</t>
  </si>
  <si>
    <t>MIG1a - Population par lieu de naissance
selon la subdivision de résidence et l'âge décennal</t>
  </si>
  <si>
    <t>Subdivision et âge</t>
  </si>
  <si>
    <t>Autres COM &amp; DOM</t>
  </si>
  <si>
    <t>MIG1b - Population par lieu de naissance
selon la subdivision de résidence et la catégorie socio-professionnelle</t>
  </si>
  <si>
    <t>Subdivision et
catégorie socio-professionnelle</t>
  </si>
  <si>
    <t>MIG1c - Population née hors de Polynésie française par année de dernière installation selon le sexe et l'âge quinquennal</t>
  </si>
  <si>
    <t>Année d'installation des personnes nées en dehors de la Polynésie (*)</t>
  </si>
  <si>
    <t>Sexe et âge</t>
  </si>
  <si>
    <t>Depuis 2009</t>
  </si>
  <si>
    <t>Moins de 5 ans</t>
  </si>
  <si>
    <t>5-9 ans</t>
  </si>
  <si>
    <t>10-14 ans</t>
  </si>
  <si>
    <t>15-19 ans</t>
  </si>
  <si>
    <t>20-24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</si>
  <si>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</si>
  <si>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</si>
  <si>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</si>
  <si>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</si>
  <si>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</si>
  <si>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</si>
  <si>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</si>
  <si>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60-64 ans</t>
  </si>
  <si>
    <t>65-69 ans</t>
  </si>
  <si>
    <t>70-74 ans</t>
  </si>
  <si>
    <t>75-79 ans</t>
  </si>
  <si>
    <t>Homme</t>
  </si>
  <si>
    <t>Femme</t>
  </si>
  <si>
    <t>(*) données non collectées dans les établissements pénitentiaires</t>
  </si>
  <si>
    <t>MIG1d - Population née hors de Polynésie française par année de dernière installation selon la subdivision de résidence et l'âge décennal</t>
  </si>
  <si>
    <t>MIG2a - Population née avant le 20/08/2007 par lieu de résidence antérieure
au 20/08/2007 selon le sexe et l'âge quinquennal</t>
  </si>
  <si>
    <t>Résidence antérieure au 20 Aout 2007 (*)</t>
  </si>
  <si>
    <t>MIG2b - Population née avant le 20/08/2007 par lieu de résidence antérieure
 au 20/08/2007 selon la subdivision de résidence et l'âge décennal</t>
  </si>
  <si>
    <t xml:space="preserve">Source : Recensement de la population 2012- ISPF - INSEE </t>
  </si>
  <si>
    <t>MIG2c - Population née avant le20/08/2007 par lieu de résidence antérieure
au 20/08/2007 selon la subdivision de résidence et la catégorie socio-professionnelle</t>
  </si>
  <si>
    <t>MIG3a - Population ayant changé de commune de résidence entre 2007 et 2012
selon la subdivision de résidence et l'âge décennal</t>
  </si>
  <si>
    <t>Résidence antérieure au 20 AOUT 2007(*)</t>
  </si>
  <si>
    <t>Iles Du vent</t>
  </si>
  <si>
    <t>Total général</t>
  </si>
  <si>
    <t>MIG3b - Migration inter-subdivisions entre 2007 et 2012
selon la subdivision de résidence</t>
  </si>
  <si>
    <t>Résidence antérieure au 20 aout 2007(*)</t>
  </si>
  <si>
    <t>Subdivision</t>
  </si>
  <si>
    <t>Arrivées dans la subdivision</t>
  </si>
  <si>
    <t>Ensemble des départs</t>
  </si>
  <si>
    <t>Rappel arrivées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</si>
</sst>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63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8"/>
      <name val="Calibri"/>
      <family val="2"/>
    </font>
    <font>
      <b/>
      <i/>
      <sz val="8"/>
      <color indexed="23"/>
      <name val="Calibri"/>
      <family val="2"/>
    </font>
    <font>
      <b/>
      <sz val="8"/>
      <color indexed="8"/>
      <name val="Calibri"/>
      <family val="2"/>
    </font>
    <font>
      <b/>
      <sz val="10"/>
      <color indexed="23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 tint="0.15000000596046448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 tint="0.49998000264167786"/>
      <name val="Calibri"/>
      <family val="2"/>
    </font>
    <font>
      <b/>
      <sz val="10"/>
      <color theme="1" tint="0.34999001026153564"/>
      <name val="Calibri"/>
      <family val="2"/>
    </font>
    <font>
      <b/>
      <sz val="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49998000264167786"/>
      </left>
      <right/>
      <top/>
      <bottom/>
    </border>
    <border>
      <left/>
      <right style="thin">
        <color theme="1" tint="0.49998000264167786"/>
      </right>
      <top/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 style="thin"/>
      <right/>
      <top/>
      <bottom/>
    </border>
    <border>
      <left/>
      <right/>
      <top/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 style="thin">
        <color theme="1" tint="0.49998000264167786"/>
      </left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9">
    <xf numFmtId="0" fontId="0" fillId="0" borderId="0" xfId="0" applyAlignment="1">
      <alignment/>
    </xf>
    <xf numFmtId="3" fontId="50" fillId="0" borderId="0" xfId="46" applyNumberFormat="1" applyFont="1" applyBorder="1" applyAlignment="1">
      <alignment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1" fillId="33" borderId="0" xfId="46" applyNumberFormat="1" applyFont="1" applyFill="1" applyBorder="1" applyAlignment="1">
      <alignment horizontal="center" vertical="center" wrapText="1"/>
    </xf>
    <xf numFmtId="3" fontId="6" fillId="33" borderId="0" xfId="46" applyNumberFormat="1" applyFont="1" applyFill="1" applyBorder="1" applyAlignment="1" quotePrefix="1">
      <alignment horizontal="center" vertical="center" wrapText="1"/>
    </xf>
    <xf numFmtId="3" fontId="52" fillId="0" borderId="0" xfId="0" applyNumberFormat="1" applyFont="1" applyBorder="1" applyAlignment="1">
      <alignment vertical="center"/>
    </xf>
    <xf numFmtId="3" fontId="8" fillId="34" borderId="0" xfId="0" applyNumberFormat="1" applyFont="1" applyFill="1" applyBorder="1" applyAlignment="1">
      <alignment vertical="center" wrapText="1"/>
    </xf>
    <xf numFmtId="3" fontId="10" fillId="34" borderId="0" xfId="45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8" fillId="34" borderId="0" xfId="0" applyNumberFormat="1" applyFont="1" applyFill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53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53" fillId="10" borderId="10" xfId="46" applyNumberFormat="1" applyFont="1" applyFill="1" applyBorder="1" applyAlignment="1">
      <alignment vertical="center"/>
    </xf>
    <xf numFmtId="3" fontId="53" fillId="10" borderId="11" xfId="46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left" vertical="center"/>
    </xf>
    <xf numFmtId="3" fontId="54" fillId="0" borderId="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0" borderId="10" xfId="0" applyNumberFormat="1" applyBorder="1" applyAlignment="1">
      <alignment horizontal="left" indent="1"/>
    </xf>
    <xf numFmtId="3" fontId="0" fillId="0" borderId="10" xfId="0" applyNumberFormat="1" applyBorder="1" applyAlignment="1">
      <alignment horizontal="left" indent="2"/>
    </xf>
    <xf numFmtId="3" fontId="0" fillId="0" borderId="12" xfId="0" applyNumberFormat="1" applyBorder="1" applyAlignment="1">
      <alignment horizontal="left" indent="2"/>
    </xf>
    <xf numFmtId="3" fontId="55" fillId="0" borderId="0" xfId="0" applyNumberFormat="1" applyFont="1" applyBorder="1" applyAlignment="1">
      <alignment horizontal="center" vertical="top" wrapText="1"/>
    </xf>
    <xf numFmtId="3" fontId="56" fillId="33" borderId="14" xfId="46" applyNumberFormat="1" applyFont="1" applyFill="1" applyBorder="1" applyAlignment="1">
      <alignment vertical="center" wrapText="1"/>
    </xf>
    <xf numFmtId="3" fontId="56" fillId="33" borderId="0" xfId="46" applyNumberFormat="1" applyFont="1" applyFill="1" applyBorder="1" applyAlignment="1">
      <alignment horizontal="center" vertical="center" wrapText="1"/>
    </xf>
    <xf numFmtId="3" fontId="56" fillId="35" borderId="0" xfId="46" applyNumberFormat="1" applyFont="1" applyFill="1" applyBorder="1" applyAlignment="1">
      <alignment horizontal="center" vertical="center" wrapText="1"/>
    </xf>
    <xf numFmtId="3" fontId="56" fillId="35" borderId="11" xfId="46" applyNumberFormat="1" applyFont="1" applyFill="1" applyBorder="1" applyAlignment="1">
      <alignment horizontal="center" vertical="center" wrapText="1"/>
    </xf>
    <xf numFmtId="3" fontId="53" fillId="10" borderId="14" xfId="46" applyNumberFormat="1" applyFont="1" applyFill="1" applyBorder="1" applyAlignment="1">
      <alignment vertical="center"/>
    </xf>
    <xf numFmtId="3" fontId="53" fillId="10" borderId="0" xfId="46" applyNumberFormat="1" applyFont="1" applyFill="1" applyBorder="1" applyAlignment="1">
      <alignment horizontal="right" vertical="center"/>
    </xf>
    <xf numFmtId="3" fontId="53" fillId="10" borderId="11" xfId="0" applyNumberFormat="1" applyFont="1" applyFill="1" applyBorder="1" applyAlignment="1">
      <alignment horizontal="right" vertical="center"/>
    </xf>
    <xf numFmtId="3" fontId="0" fillId="0" borderId="14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left"/>
    </xf>
    <xf numFmtId="3" fontId="0" fillId="0" borderId="13" xfId="0" applyNumberFormat="1" applyBorder="1" applyAlignment="1">
      <alignment/>
    </xf>
    <xf numFmtId="3" fontId="56" fillId="33" borderId="10" xfId="46" applyNumberFormat="1" applyFont="1" applyFill="1" applyBorder="1" applyAlignment="1">
      <alignment vertical="center" wrapText="1"/>
    </xf>
    <xf numFmtId="3" fontId="0" fillId="0" borderId="15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3" fontId="56" fillId="33" borderId="16" xfId="46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 horizontal="left"/>
    </xf>
    <xf numFmtId="3" fontId="54" fillId="36" borderId="0" xfId="0" applyNumberFormat="1" applyFont="1" applyFill="1" applyBorder="1" applyAlignment="1">
      <alignment horizontal="right" vertical="center"/>
    </xf>
    <xf numFmtId="3" fontId="0" fillId="36" borderId="0" xfId="0" applyNumberFormat="1" applyFill="1" applyAlignment="1">
      <alignment/>
    </xf>
    <xf numFmtId="3" fontId="0" fillId="36" borderId="0" xfId="0" applyNumberFormat="1" applyFill="1" applyBorder="1" applyAlignment="1">
      <alignment/>
    </xf>
    <xf numFmtId="3" fontId="55" fillId="0" borderId="0" xfId="0" applyNumberFormat="1" applyFont="1" applyBorder="1" applyAlignment="1">
      <alignment horizontal="center" vertical="top" wrapText="1"/>
    </xf>
    <xf numFmtId="3" fontId="56" fillId="33" borderId="10" xfId="46" applyNumberFormat="1" applyFont="1" applyFill="1" applyBorder="1" applyAlignment="1">
      <alignment vertical="center"/>
    </xf>
    <xf numFmtId="3" fontId="56" fillId="33" borderId="0" xfId="46" applyNumberFormat="1" applyFont="1" applyFill="1" applyBorder="1" applyAlignment="1">
      <alignment vertical="center"/>
    </xf>
    <xf numFmtId="3" fontId="53" fillId="10" borderId="0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left" vertical="center"/>
    </xf>
    <xf numFmtId="3" fontId="0" fillId="0" borderId="18" xfId="0" applyNumberFormat="1" applyFont="1" applyBorder="1" applyAlignment="1">
      <alignment horizontal="right" vertical="center"/>
    </xf>
    <xf numFmtId="3" fontId="53" fillId="10" borderId="0" xfId="46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Alignment="1">
      <alignment horizontal="left" indent="1"/>
    </xf>
    <xf numFmtId="3" fontId="0" fillId="0" borderId="0" xfId="0" applyNumberFormat="1" applyAlignment="1">
      <alignment horizontal="left" indent="2"/>
    </xf>
    <xf numFmtId="3" fontId="0" fillId="0" borderId="18" xfId="0" applyNumberFormat="1" applyFont="1" applyBorder="1" applyAlignment="1">
      <alignment vertical="center"/>
    </xf>
    <xf numFmtId="3" fontId="53" fillId="10" borderId="19" xfId="46" applyNumberFormat="1" applyFont="1" applyFill="1" applyBorder="1" applyAlignment="1">
      <alignment horizontal="right" vertical="center"/>
    </xf>
    <xf numFmtId="3" fontId="56" fillId="33" borderId="0" xfId="46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horizontal="left" vertical="center"/>
    </xf>
    <xf numFmtId="3" fontId="0" fillId="0" borderId="18" xfId="0" applyNumberFormat="1" applyFont="1" applyBorder="1" applyAlignment="1">
      <alignment horizontal="left" vertical="center"/>
    </xf>
    <xf numFmtId="3" fontId="53" fillId="0" borderId="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left" vertical="center"/>
    </xf>
    <xf numFmtId="3" fontId="53" fillId="10" borderId="12" xfId="46" applyNumberFormat="1" applyFont="1" applyFill="1" applyBorder="1" applyAlignment="1">
      <alignment vertical="center"/>
    </xf>
    <xf numFmtId="3" fontId="53" fillId="10" borderId="15" xfId="46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 horizontal="left" wrapText="1"/>
    </xf>
    <xf numFmtId="3" fontId="55" fillId="0" borderId="15" xfId="0" applyNumberFormat="1" applyFont="1" applyBorder="1" applyAlignment="1">
      <alignment horizontal="center" vertical="top" wrapText="1"/>
    </xf>
    <xf numFmtId="3" fontId="56" fillId="33" borderId="16" xfId="46" applyNumberFormat="1" applyFont="1" applyFill="1" applyBorder="1" applyAlignment="1">
      <alignment horizontal="center" vertical="center"/>
    </xf>
    <xf numFmtId="3" fontId="56" fillId="33" borderId="21" xfId="46" applyNumberFormat="1" applyFont="1" applyFill="1" applyBorder="1" applyAlignment="1">
      <alignment horizontal="center" vertical="center"/>
    </xf>
    <xf numFmtId="3" fontId="56" fillId="33" borderId="16" xfId="46" applyNumberFormat="1" applyFont="1" applyFill="1" applyBorder="1" applyAlignment="1">
      <alignment horizontal="center" vertical="center" wrapText="1"/>
    </xf>
    <xf numFmtId="3" fontId="56" fillId="33" borderId="21" xfId="46" applyNumberFormat="1" applyFont="1" applyFill="1" applyBorder="1" applyAlignment="1">
      <alignment horizontal="center" vertical="center" wrapText="1"/>
    </xf>
    <xf numFmtId="3" fontId="56" fillId="33" borderId="10" xfId="46" applyNumberFormat="1" applyFont="1" applyFill="1" applyBorder="1" applyAlignment="1">
      <alignment horizontal="center" vertical="center" wrapText="1"/>
    </xf>
    <xf numFmtId="3" fontId="56" fillId="33" borderId="11" xfId="46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vertical="top" wrapText="1"/>
    </xf>
    <xf numFmtId="3" fontId="55" fillId="0" borderId="0" xfId="0" applyNumberFormat="1" applyFont="1" applyBorder="1" applyAlignment="1">
      <alignment horizontal="center" vertical="top" wrapText="1"/>
    </xf>
    <xf numFmtId="3" fontId="56" fillId="33" borderId="22" xfId="46" applyNumberFormat="1" applyFont="1" applyFill="1" applyBorder="1" applyAlignment="1">
      <alignment horizontal="center" vertical="center"/>
    </xf>
    <xf numFmtId="3" fontId="55" fillId="0" borderId="0" xfId="0" applyNumberFormat="1" applyFont="1" applyBorder="1" applyAlignment="1">
      <alignment horizontal="center" vertical="top"/>
    </xf>
    <xf numFmtId="3" fontId="56" fillId="33" borderId="0" xfId="46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cols>
    <col min="1" max="1" width="82" style="19" customWidth="1"/>
    <col min="2" max="2" width="13.16015625" style="18" bestFit="1" customWidth="1"/>
    <col min="3" max="4" width="12" style="19" customWidth="1"/>
    <col min="5" max="5" width="42.33203125" style="19" bestFit="1" customWidth="1"/>
    <col min="6" max="16384" width="12" style="19" customWidth="1"/>
  </cols>
  <sheetData>
    <row r="1" spans="1:2" s="3" customFormat="1" ht="48.75" customHeight="1">
      <c r="A1" s="1" t="s">
        <v>0</v>
      </c>
      <c r="B1" s="2"/>
    </row>
    <row r="2" s="3" customFormat="1" ht="11.25">
      <c r="B2" s="2"/>
    </row>
    <row r="3" spans="1:2" s="6" customFormat="1" ht="12.75">
      <c r="A3" s="4" t="s">
        <v>1</v>
      </c>
      <c r="B3" s="5"/>
    </row>
    <row r="4" spans="1:2" s="9" customFormat="1" ht="11.25">
      <c r="A4" s="7" t="s">
        <v>2</v>
      </c>
      <c r="B4" s="8" t="s">
        <v>3</v>
      </c>
    </row>
    <row r="5" spans="1:2" s="9" customFormat="1" ht="11.25">
      <c r="A5" s="7" t="s">
        <v>4</v>
      </c>
      <c r="B5" s="8" t="s">
        <v>5</v>
      </c>
    </row>
    <row r="6" spans="1:2" s="9" customFormat="1" ht="12.75" customHeight="1">
      <c r="A6" s="7" t="s">
        <v>6</v>
      </c>
      <c r="B6" s="8" t="s">
        <v>7</v>
      </c>
    </row>
    <row r="7" spans="1:2" s="10" customFormat="1" ht="21" customHeight="1">
      <c r="A7" s="76" t="s">
        <v>8</v>
      </c>
      <c r="B7" s="76"/>
    </row>
    <row r="8" spans="1:11" s="9" customFormat="1" ht="11.25">
      <c r="A8" s="11" t="s">
        <v>9</v>
      </c>
      <c r="B8" s="8" t="s">
        <v>10</v>
      </c>
      <c r="C8" s="12"/>
      <c r="D8" s="12"/>
      <c r="E8" s="12"/>
      <c r="F8" s="12"/>
      <c r="G8" s="12"/>
      <c r="H8" s="12"/>
      <c r="I8" s="12"/>
      <c r="J8" s="12"/>
      <c r="K8" s="12"/>
    </row>
    <row r="9" spans="1:11" s="9" customFormat="1" ht="11.25">
      <c r="A9" s="11" t="s">
        <v>11</v>
      </c>
      <c r="B9" s="8" t="s">
        <v>12</v>
      </c>
      <c r="C9" s="12"/>
      <c r="D9" s="12"/>
      <c r="E9" s="12"/>
      <c r="F9" s="12"/>
      <c r="G9" s="12"/>
      <c r="H9" s="12"/>
      <c r="I9" s="12"/>
      <c r="J9" s="12"/>
      <c r="K9" s="12"/>
    </row>
    <row r="10" spans="1:11" s="10" customFormat="1" ht="21" customHeight="1">
      <c r="A10" s="76" t="s">
        <v>13</v>
      </c>
      <c r="B10" s="76"/>
      <c r="C10" s="13"/>
      <c r="D10" s="13"/>
      <c r="E10" s="13"/>
      <c r="F10" s="13"/>
      <c r="G10" s="13"/>
      <c r="H10" s="13"/>
      <c r="I10" s="13"/>
      <c r="J10" s="13"/>
      <c r="K10" s="13"/>
    </row>
    <row r="11" spans="1:11" s="9" customFormat="1" ht="11.25">
      <c r="A11" s="11" t="s">
        <v>14</v>
      </c>
      <c r="B11" s="8" t="s">
        <v>15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1" s="9" customFormat="1" ht="11.25">
      <c r="A12" s="11" t="s">
        <v>16</v>
      </c>
      <c r="B12" s="8" t="s">
        <v>17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3" s="15" customFormat="1" ht="33" customHeight="1">
      <c r="A13" s="76" t="s">
        <v>18</v>
      </c>
      <c r="B13" s="76"/>
      <c r="C13" s="14"/>
    </row>
    <row r="14" spans="1:11" s="9" customFormat="1" ht="11.25">
      <c r="A14" s="11" t="s">
        <v>19</v>
      </c>
      <c r="B14" s="8" t="s">
        <v>20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1" s="9" customFormat="1" ht="11.25">
      <c r="A15" s="11" t="s">
        <v>21</v>
      </c>
      <c r="B15" s="8" t="s">
        <v>22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1" s="9" customFormat="1" ht="11.25">
      <c r="A16" s="11" t="s">
        <v>23</v>
      </c>
      <c r="B16" s="8" t="s">
        <v>24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1:11" s="9" customFormat="1" ht="11.25">
      <c r="A17" s="76"/>
      <c r="B17" s="76"/>
      <c r="C17" s="12"/>
      <c r="D17" s="12"/>
      <c r="E17" s="12"/>
      <c r="F17" s="12"/>
      <c r="G17" s="12"/>
      <c r="H17" s="12"/>
      <c r="I17" s="12"/>
      <c r="J17" s="12"/>
      <c r="K17" s="12"/>
    </row>
    <row r="18" spans="1:11" s="9" customFormat="1" ht="22.5" customHeight="1">
      <c r="A18" s="11" t="s">
        <v>25</v>
      </c>
      <c r="B18" s="8" t="s">
        <v>26</v>
      </c>
      <c r="C18" s="16"/>
      <c r="D18" s="16"/>
      <c r="E18" s="16"/>
      <c r="F18" s="16"/>
      <c r="G18" s="16"/>
      <c r="H18" s="16"/>
      <c r="I18" s="16"/>
      <c r="J18" s="16"/>
      <c r="K18" s="16"/>
    </row>
    <row r="19" spans="1:11" s="9" customFormat="1" ht="22.5">
      <c r="A19" s="11" t="s">
        <v>27</v>
      </c>
      <c r="B19" s="8" t="s">
        <v>28</v>
      </c>
      <c r="C19" s="12"/>
      <c r="D19" s="12"/>
      <c r="E19" s="12"/>
      <c r="F19" s="12"/>
      <c r="G19" s="12"/>
      <c r="H19" s="12"/>
      <c r="I19" s="12"/>
      <c r="J19" s="12"/>
      <c r="K19" s="12"/>
    </row>
    <row r="21" ht="11.25">
      <c r="A21" s="17" t="s">
        <v>29</v>
      </c>
    </row>
  </sheetData>
  <sheetProtection/>
  <mergeCells count="4">
    <mergeCell ref="A7:B7"/>
    <mergeCell ref="A10:B10"/>
    <mergeCell ref="A13:B13"/>
    <mergeCell ref="A17:B17"/>
  </mergeCells>
  <hyperlinks>
    <hyperlink ref="B14" location="MIG2a!A1" display="MIG2a"/>
    <hyperlink ref="B15" location="MIG2b!A1" display="MIG2b"/>
    <hyperlink ref="B18" location="MIG3a!A1" display="MIG3a"/>
    <hyperlink ref="B16" location="MIG2c!A1" display="MIG2c!A1"/>
    <hyperlink ref="B9" location="MIG1b!A1" display="MIG1b"/>
    <hyperlink ref="B11" location="MIG1c!A1" display="MIG1c!A1"/>
    <hyperlink ref="B12" location="MIG1d!A1" display="MIG1d!A1"/>
    <hyperlink ref="B8" location="MIG1a!A1" display="MIG1a"/>
    <hyperlink ref="B4" location="'Chiffres clés - 1'!A1" display="'Chiffres clés - 1'!A1"/>
    <hyperlink ref="B5" location="'Chiffres clés - 2'!A1" display="'Chiffres clés - 2'!A1"/>
    <hyperlink ref="B6" location="'Chiffres clés - 3'!A1" display="'Chiffres clés - 3'!A1"/>
    <hyperlink ref="B19" location="MIG3b!A1" display="MIG3b!A1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headerFooter>
    <oddFooter>&amp;LMigrations  &amp;P /&amp;N&amp;R&amp;G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PageLayoutView="0" workbookViewId="0" topLeftCell="A1">
      <selection activeCell="A4" sqref="A4:G63"/>
    </sheetView>
  </sheetViews>
  <sheetFormatPr defaultColWidth="12" defaultRowHeight="11.25"/>
  <cols>
    <col min="1" max="1" width="16.5" style="28" customWidth="1"/>
    <col min="2" max="2" width="9.16015625" style="49" customWidth="1"/>
    <col min="3" max="3" width="10.5" style="20" customWidth="1"/>
    <col min="4" max="4" width="16.33203125" style="20" customWidth="1"/>
    <col min="5" max="5" width="16" style="20" customWidth="1"/>
    <col min="6" max="6" width="11.16015625" style="20" customWidth="1"/>
    <col min="7" max="7" width="12.33203125" style="20" customWidth="1"/>
    <col min="8" max="16384" width="12" style="20" customWidth="1"/>
  </cols>
  <sheetData>
    <row r="1" spans="1:7" ht="29.25" customHeight="1">
      <c r="A1" s="85" t="s">
        <v>131</v>
      </c>
      <c r="B1" s="87"/>
      <c r="C1" s="87"/>
      <c r="D1" s="87"/>
      <c r="E1" s="87"/>
      <c r="F1" s="87"/>
      <c r="G1" s="87"/>
    </row>
    <row r="2" spans="1:7" ht="10.5" customHeight="1">
      <c r="A2" s="20"/>
      <c r="B2" s="20"/>
      <c r="C2" s="86" t="s">
        <v>130</v>
      </c>
      <c r="D2" s="86"/>
      <c r="E2" s="86"/>
      <c r="F2" s="86"/>
      <c r="G2" s="79"/>
    </row>
    <row r="3" spans="1:7" ht="31.5" customHeight="1">
      <c r="A3" s="58" t="s">
        <v>101</v>
      </c>
      <c r="B3" s="59" t="str">
        <f>_xlfn.COMPOUNDVALUE(75)</f>
        <v>Ensemble</v>
      </c>
      <c r="C3" s="38" t="str">
        <f>_xlfn.COMPOUNDVALUE(14)</f>
        <v>Même logement</v>
      </c>
      <c r="D3" s="38" t="str">
        <f>_xlfn.COMPOUNDVALUE(15)</f>
        <v>Autre logement, même commune</v>
      </c>
      <c r="E3" s="38" t="str">
        <f>_xlfn.COMPOUNDVALUE(16)</f>
        <v>Autre commune, même subdivision</v>
      </c>
      <c r="F3" s="38" t="str">
        <f>_xlfn.COMPOUNDVALUE(17)</f>
        <v>Autre subdivision</v>
      </c>
      <c r="G3" s="38" t="str">
        <f>_xlfn.COMPOUNDVALUE(18)</f>
        <v>Hors Polynésie française</v>
      </c>
    </row>
    <row r="4" spans="1:7" ht="11.25">
      <c r="A4" s="22" t="str">
        <f>_xlfn.COMPOUNDVALUE(76)</f>
        <v>Ensemble</v>
      </c>
      <c r="B4" s="41">
        <v>245866</v>
      </c>
      <c r="C4" s="41">
        <v>176218</v>
      </c>
      <c r="D4" s="41">
        <v>23661</v>
      </c>
      <c r="E4" s="41">
        <v>24155</v>
      </c>
      <c r="F4" s="41">
        <v>11210</v>
      </c>
      <c r="G4" s="41">
        <v>10622</v>
      </c>
    </row>
    <row r="5" spans="1:7" ht="11.25">
      <c r="A5" s="24" t="s">
        <v>110</v>
      </c>
      <c r="B5" s="20">
        <v>22009</v>
      </c>
      <c r="C5" s="20">
        <v>15391</v>
      </c>
      <c r="D5" s="20">
        <v>2455</v>
      </c>
      <c r="E5" s="20">
        <v>2139</v>
      </c>
      <c r="F5" s="20">
        <v>926</v>
      </c>
      <c r="G5" s="20">
        <v>1098</v>
      </c>
    </row>
    <row r="6" spans="1:7" ht="11.25">
      <c r="A6" s="24" t="str">
        <f>_xlfn.COMPOUNDVALUE(60)</f>
        <v>10-14 ans</v>
      </c>
      <c r="B6" s="20">
        <v>46287</v>
      </c>
      <c r="C6" s="20">
        <v>34214</v>
      </c>
      <c r="D6" s="20">
        <v>4283</v>
      </c>
      <c r="E6" s="20">
        <v>4162</v>
      </c>
      <c r="F6" s="20">
        <v>2195</v>
      </c>
      <c r="G6" s="20">
        <v>1433</v>
      </c>
    </row>
    <row r="7" spans="1:7" ht="11.25">
      <c r="A7" s="24" t="str">
        <f>_xlfn.COMPOUNDVALUE(32)</f>
        <v>20-29 ans</v>
      </c>
      <c r="B7" s="20">
        <v>44897</v>
      </c>
      <c r="C7" s="20">
        <v>27955</v>
      </c>
      <c r="D7" s="20">
        <v>5461</v>
      </c>
      <c r="E7" s="20">
        <v>6134</v>
      </c>
      <c r="F7" s="20">
        <v>3511</v>
      </c>
      <c r="G7" s="20">
        <v>1836</v>
      </c>
    </row>
    <row r="8" spans="1:7" ht="11.25">
      <c r="A8" s="24" t="str">
        <f>_xlfn.COMPOUNDVALUE(33)</f>
        <v>30-39 ans</v>
      </c>
      <c r="B8" s="20">
        <v>39887</v>
      </c>
      <c r="C8" s="20">
        <v>25048</v>
      </c>
      <c r="D8" s="20">
        <v>4995</v>
      </c>
      <c r="E8" s="20">
        <v>5300</v>
      </c>
      <c r="F8" s="20">
        <v>1850</v>
      </c>
      <c r="G8" s="20">
        <v>2694</v>
      </c>
    </row>
    <row r="9" spans="1:7" ht="11.25">
      <c r="A9" s="24" t="str">
        <f>_xlfn.COMPOUNDVALUE(34)</f>
        <v>40-49 ans</v>
      </c>
      <c r="B9" s="20">
        <v>39073</v>
      </c>
      <c r="C9" s="20">
        <v>28847</v>
      </c>
      <c r="D9" s="20">
        <v>3504</v>
      </c>
      <c r="E9" s="20">
        <v>3441</v>
      </c>
      <c r="F9" s="20">
        <v>1271</v>
      </c>
      <c r="G9" s="20">
        <v>2010</v>
      </c>
    </row>
    <row r="10" spans="1:7" ht="11.25">
      <c r="A10" s="24" t="str">
        <f>_xlfn.COMPOUNDVALUE(35)</f>
        <v>50-59 ans</v>
      </c>
      <c r="B10" s="20">
        <v>27365</v>
      </c>
      <c r="C10" s="20">
        <v>22048</v>
      </c>
      <c r="D10" s="20">
        <v>1719</v>
      </c>
      <c r="E10" s="20">
        <v>1756</v>
      </c>
      <c r="F10" s="20">
        <v>788</v>
      </c>
      <c r="G10" s="20">
        <v>1054</v>
      </c>
    </row>
    <row r="11" spans="1:7" ht="11.25">
      <c r="A11" s="24" t="str">
        <f>_xlfn.COMPOUNDVALUE(36)</f>
        <v>60-69 ans</v>
      </c>
      <c r="B11" s="20">
        <v>15618</v>
      </c>
      <c r="C11" s="20">
        <v>13239</v>
      </c>
      <c r="D11" s="20">
        <v>775</v>
      </c>
      <c r="E11" s="20">
        <v>803</v>
      </c>
      <c r="F11" s="20">
        <v>419</v>
      </c>
      <c r="G11" s="20">
        <v>382</v>
      </c>
    </row>
    <row r="12" spans="1:7" ht="11.25">
      <c r="A12" s="24" t="str">
        <f>_xlfn.COMPOUNDVALUE(37)</f>
        <v>70-79 ans</v>
      </c>
      <c r="B12" s="20">
        <v>8067</v>
      </c>
      <c r="C12" s="20">
        <v>7157</v>
      </c>
      <c r="D12" s="20">
        <v>342</v>
      </c>
      <c r="E12" s="20">
        <v>301</v>
      </c>
      <c r="F12" s="20">
        <v>194</v>
      </c>
      <c r="G12" s="20">
        <v>73</v>
      </c>
    </row>
    <row r="13" spans="1:7" ht="11.25">
      <c r="A13" s="24" t="str">
        <f>_xlfn.COMPOUNDVALUE(47)</f>
        <v>80 ans et plus</v>
      </c>
      <c r="B13" s="20">
        <v>2663</v>
      </c>
      <c r="C13" s="20">
        <v>2319</v>
      </c>
      <c r="D13" s="20">
        <v>127</v>
      </c>
      <c r="E13" s="20">
        <v>119</v>
      </c>
      <c r="F13" s="20">
        <v>56</v>
      </c>
      <c r="G13" s="20">
        <v>42</v>
      </c>
    </row>
    <row r="14" spans="1:7" ht="11.25">
      <c r="A14" s="22" t="str">
        <f>_xlfn.COMPOUNDVALUE(56)</f>
        <v>Iles Du Vent</v>
      </c>
      <c r="B14" s="41">
        <v>184301</v>
      </c>
      <c r="C14" s="41">
        <v>131096</v>
      </c>
      <c r="D14" s="41">
        <v>16764</v>
      </c>
      <c r="E14" s="41">
        <v>22552</v>
      </c>
      <c r="F14" s="41">
        <v>5013</v>
      </c>
      <c r="G14" s="41">
        <v>8876</v>
      </c>
    </row>
    <row r="15" spans="1:7" ht="11.25">
      <c r="A15" s="24" t="s">
        <v>110</v>
      </c>
      <c r="B15" s="20">
        <v>16156</v>
      </c>
      <c r="C15" s="20">
        <v>11217</v>
      </c>
      <c r="D15" s="20">
        <v>1667</v>
      </c>
      <c r="E15" s="20">
        <v>2011</v>
      </c>
      <c r="F15" s="20">
        <v>344</v>
      </c>
      <c r="G15" s="20">
        <v>917</v>
      </c>
    </row>
    <row r="16" spans="1:7" ht="11.25">
      <c r="A16" s="24" t="str">
        <f>_xlfn.COMPOUNDVALUE(31)</f>
        <v>10-19 ans</v>
      </c>
      <c r="B16" s="20">
        <v>34419</v>
      </c>
      <c r="C16" s="20">
        <v>24957</v>
      </c>
      <c r="D16" s="20">
        <v>3075</v>
      </c>
      <c r="E16" s="20">
        <v>3844</v>
      </c>
      <c r="F16" s="20">
        <v>1291</v>
      </c>
      <c r="G16" s="20">
        <v>1252</v>
      </c>
    </row>
    <row r="17" spans="1:7" ht="11.25">
      <c r="A17" s="24" t="str">
        <f>_xlfn.COMPOUNDVALUE(32)</f>
        <v>20-29 ans</v>
      </c>
      <c r="B17" s="20">
        <v>33657</v>
      </c>
      <c r="C17" s="20">
        <v>21218</v>
      </c>
      <c r="D17" s="20">
        <v>3807</v>
      </c>
      <c r="E17" s="20">
        <v>5608</v>
      </c>
      <c r="F17" s="20">
        <v>1503</v>
      </c>
      <c r="G17" s="20">
        <v>1521</v>
      </c>
    </row>
    <row r="18" spans="1:7" ht="11.25">
      <c r="A18" s="24" t="str">
        <f>_xlfn.COMPOUNDVALUE(33)</f>
        <v>30-39 ans</v>
      </c>
      <c r="B18" s="20">
        <v>30090</v>
      </c>
      <c r="C18" s="20">
        <v>18469</v>
      </c>
      <c r="D18" s="20">
        <v>3546</v>
      </c>
      <c r="E18" s="20">
        <v>5030</v>
      </c>
      <c r="F18" s="20">
        <v>791</v>
      </c>
      <c r="G18" s="20">
        <v>2254</v>
      </c>
    </row>
    <row r="19" spans="1:7" ht="11.25">
      <c r="A19" s="24" t="str">
        <f>_xlfn.COMPOUNDVALUE(34)</f>
        <v>40-49 ans</v>
      </c>
      <c r="B19" s="20">
        <v>29622</v>
      </c>
      <c r="C19" s="20">
        <v>21601</v>
      </c>
      <c r="D19" s="20">
        <v>2559</v>
      </c>
      <c r="E19" s="20">
        <v>3268</v>
      </c>
      <c r="F19" s="20">
        <v>539</v>
      </c>
      <c r="G19" s="20">
        <v>1655</v>
      </c>
    </row>
    <row r="20" spans="1:7" ht="11.25">
      <c r="A20" s="24" t="str">
        <f>_xlfn.COMPOUNDVALUE(35)</f>
        <v>50-59 ans</v>
      </c>
      <c r="B20" s="20">
        <v>20770</v>
      </c>
      <c r="C20" s="20">
        <v>16765</v>
      </c>
      <c r="D20" s="20">
        <v>1223</v>
      </c>
      <c r="E20" s="20">
        <v>1648</v>
      </c>
      <c r="F20" s="20">
        <v>266</v>
      </c>
      <c r="G20" s="20">
        <v>868</v>
      </c>
    </row>
    <row r="21" spans="1:7" ht="11.25">
      <c r="A21" s="24" t="str">
        <f>_xlfn.COMPOUNDVALUE(36)</f>
        <v>60-69 ans</v>
      </c>
      <c r="B21" s="20">
        <v>11694</v>
      </c>
      <c r="C21" s="20">
        <v>9933</v>
      </c>
      <c r="D21" s="20">
        <v>546</v>
      </c>
      <c r="E21" s="20">
        <v>748</v>
      </c>
      <c r="F21" s="20">
        <v>155</v>
      </c>
      <c r="G21" s="20">
        <v>312</v>
      </c>
    </row>
    <row r="22" spans="1:7" ht="11.25">
      <c r="A22" s="24" t="str">
        <f>_xlfn.COMPOUNDVALUE(37)</f>
        <v>70-79 ans</v>
      </c>
      <c r="B22" s="20">
        <v>5854</v>
      </c>
      <c r="C22" s="20">
        <v>5172</v>
      </c>
      <c r="D22" s="20">
        <v>248</v>
      </c>
      <c r="E22" s="20">
        <v>280</v>
      </c>
      <c r="F22" s="20">
        <v>96</v>
      </c>
      <c r="G22" s="20">
        <v>58</v>
      </c>
    </row>
    <row r="23" spans="1:7" ht="11.25">
      <c r="A23" s="24" t="str">
        <f>_xlfn.COMPOUNDVALUE(47)</f>
        <v>80 ans et plus</v>
      </c>
      <c r="B23" s="20">
        <v>2039</v>
      </c>
      <c r="C23" s="20">
        <v>1764</v>
      </c>
      <c r="D23" s="20">
        <v>93</v>
      </c>
      <c r="E23" s="20">
        <v>115</v>
      </c>
      <c r="F23" s="20">
        <v>28</v>
      </c>
      <c r="G23" s="20">
        <v>39</v>
      </c>
    </row>
    <row r="24" spans="1:7" ht="11.25">
      <c r="A24" s="22" t="str">
        <f>_xlfn.COMPOUNDVALUE(56)</f>
        <v>Iles Sous-Le-Vent</v>
      </c>
      <c r="B24" s="41">
        <v>31603</v>
      </c>
      <c r="C24" s="41">
        <v>24001</v>
      </c>
      <c r="D24" s="41">
        <v>3276</v>
      </c>
      <c r="E24" s="41">
        <v>970</v>
      </c>
      <c r="F24" s="41">
        <v>2283</v>
      </c>
      <c r="G24" s="41">
        <v>1073</v>
      </c>
    </row>
    <row r="25" spans="1:7" ht="11.25">
      <c r="A25" s="24" t="s">
        <v>110</v>
      </c>
      <c r="B25" s="20">
        <v>2854</v>
      </c>
      <c r="C25" s="20">
        <v>2126</v>
      </c>
      <c r="D25" s="20">
        <v>326</v>
      </c>
      <c r="E25" s="20">
        <v>78</v>
      </c>
      <c r="F25" s="20">
        <v>211</v>
      </c>
      <c r="G25" s="20">
        <v>113</v>
      </c>
    </row>
    <row r="26" spans="1:7" ht="11.25">
      <c r="A26" s="24" t="str">
        <f>_xlfn.COMPOUNDVALUE(31)</f>
        <v>10-19 ans</v>
      </c>
      <c r="B26" s="20">
        <v>6169</v>
      </c>
      <c r="C26" s="20">
        <v>4913</v>
      </c>
      <c r="D26" s="20">
        <v>584</v>
      </c>
      <c r="E26" s="20">
        <v>207</v>
      </c>
      <c r="F26" s="20">
        <v>335</v>
      </c>
      <c r="G26" s="20">
        <v>130</v>
      </c>
    </row>
    <row r="27" spans="1:7" ht="11.25">
      <c r="A27" s="24" t="str">
        <f>_xlfn.COMPOUNDVALUE(32)</f>
        <v>20-29 ans</v>
      </c>
      <c r="B27" s="20">
        <v>5481</v>
      </c>
      <c r="C27" s="20">
        <v>3556</v>
      </c>
      <c r="D27" s="20">
        <v>786</v>
      </c>
      <c r="E27" s="20">
        <v>286</v>
      </c>
      <c r="F27" s="20">
        <v>653</v>
      </c>
      <c r="G27" s="20">
        <v>200</v>
      </c>
    </row>
    <row r="28" spans="1:7" ht="11.25">
      <c r="A28" s="24" t="str">
        <f>_xlfn.COMPOUNDVALUE(33)</f>
        <v>30-39 ans</v>
      </c>
      <c r="B28" s="20">
        <v>4983</v>
      </c>
      <c r="C28" s="20">
        <v>3485</v>
      </c>
      <c r="D28" s="20">
        <v>699</v>
      </c>
      <c r="E28" s="20">
        <v>168</v>
      </c>
      <c r="F28" s="20">
        <v>384</v>
      </c>
      <c r="G28" s="20">
        <v>247</v>
      </c>
    </row>
    <row r="29" spans="1:7" ht="11.25">
      <c r="A29" s="24" t="str">
        <f>_xlfn.COMPOUNDVALUE(34)</f>
        <v>40-49 ans</v>
      </c>
      <c r="B29" s="20">
        <v>4943</v>
      </c>
      <c r="C29" s="20">
        <v>3880</v>
      </c>
      <c r="D29" s="20">
        <v>459</v>
      </c>
      <c r="E29" s="20">
        <v>103</v>
      </c>
      <c r="F29" s="20">
        <v>284</v>
      </c>
      <c r="G29" s="20">
        <v>217</v>
      </c>
    </row>
    <row r="30" spans="1:7" ht="11.25">
      <c r="A30" s="24" t="str">
        <f>_xlfn.COMPOUNDVALUE(35)</f>
        <v>50-59 ans</v>
      </c>
      <c r="B30" s="20">
        <v>3406</v>
      </c>
      <c r="C30" s="20">
        <v>2766</v>
      </c>
      <c r="D30" s="20">
        <v>242</v>
      </c>
      <c r="E30" s="20">
        <v>76</v>
      </c>
      <c r="F30" s="20">
        <v>219</v>
      </c>
      <c r="G30" s="20">
        <v>103</v>
      </c>
    </row>
    <row r="31" spans="1:7" ht="11.25">
      <c r="A31" s="24" t="str">
        <f>_xlfn.COMPOUNDVALUE(36)</f>
        <v>60-69 ans</v>
      </c>
      <c r="B31" s="20">
        <v>2186</v>
      </c>
      <c r="C31" s="20">
        <v>1850</v>
      </c>
      <c r="D31" s="20">
        <v>124</v>
      </c>
      <c r="E31" s="20">
        <v>35</v>
      </c>
      <c r="F31" s="20">
        <v>127</v>
      </c>
      <c r="G31" s="20">
        <v>50</v>
      </c>
    </row>
    <row r="32" spans="1:7" ht="11.25">
      <c r="A32" s="24" t="str">
        <f>_xlfn.COMPOUNDVALUE(37)</f>
        <v>70-79 ans</v>
      </c>
      <c r="B32" s="20">
        <v>1210</v>
      </c>
      <c r="C32" s="20">
        <v>1093</v>
      </c>
      <c r="D32" s="20">
        <v>41</v>
      </c>
      <c r="E32" s="20">
        <v>14</v>
      </c>
      <c r="F32" s="20">
        <v>51</v>
      </c>
      <c r="G32" s="20">
        <v>11</v>
      </c>
    </row>
    <row r="33" spans="1:7" ht="11.25">
      <c r="A33" s="24" t="str">
        <f>_xlfn.COMPOUNDVALUE(47)</f>
        <v>80 ans et plus</v>
      </c>
      <c r="B33" s="20">
        <v>371</v>
      </c>
      <c r="C33" s="20">
        <v>332</v>
      </c>
      <c r="D33" s="20">
        <v>15</v>
      </c>
      <c r="E33" s="20">
        <v>3</v>
      </c>
      <c r="F33" s="20">
        <v>19</v>
      </c>
      <c r="G33" s="20">
        <v>2</v>
      </c>
    </row>
    <row r="34" spans="1:7" ht="11.25">
      <c r="A34" s="22" t="str">
        <f>_xlfn.COMPOUNDVALUE(56)</f>
        <v>Marquises</v>
      </c>
      <c r="B34" s="41">
        <v>8364</v>
      </c>
      <c r="C34" s="41">
        <v>5924</v>
      </c>
      <c r="D34" s="41">
        <v>1205</v>
      </c>
      <c r="E34" s="41">
        <v>209</v>
      </c>
      <c r="F34" s="41">
        <v>819</v>
      </c>
      <c r="G34" s="41">
        <v>207</v>
      </c>
    </row>
    <row r="35" spans="1:7" ht="11.25">
      <c r="A35" s="24" t="s">
        <v>110</v>
      </c>
      <c r="B35" s="20">
        <v>865</v>
      </c>
      <c r="C35" s="20">
        <v>590</v>
      </c>
      <c r="D35" s="20">
        <v>162</v>
      </c>
      <c r="E35" s="20">
        <v>11</v>
      </c>
      <c r="F35" s="20">
        <v>76</v>
      </c>
      <c r="G35" s="20">
        <v>26</v>
      </c>
    </row>
    <row r="36" spans="1:7" ht="11.25">
      <c r="A36" s="24" t="str">
        <f>_xlfn.COMPOUNDVALUE(31)</f>
        <v>10-19 ans</v>
      </c>
      <c r="B36" s="20">
        <v>1576</v>
      </c>
      <c r="C36" s="20">
        <v>1200</v>
      </c>
      <c r="D36" s="20">
        <v>211</v>
      </c>
      <c r="E36" s="20">
        <v>42</v>
      </c>
      <c r="F36" s="20">
        <v>103</v>
      </c>
      <c r="G36" s="20">
        <v>20</v>
      </c>
    </row>
    <row r="37" spans="1:7" ht="11.25">
      <c r="A37" s="24" t="str">
        <f>_xlfn.COMPOUNDVALUE(32)</f>
        <v>20-29 ans</v>
      </c>
      <c r="B37" s="20">
        <v>1519</v>
      </c>
      <c r="C37" s="20">
        <v>823</v>
      </c>
      <c r="D37" s="20">
        <v>274</v>
      </c>
      <c r="E37" s="20">
        <v>92</v>
      </c>
      <c r="F37" s="20">
        <v>308</v>
      </c>
      <c r="G37" s="20">
        <v>22</v>
      </c>
    </row>
    <row r="38" spans="1:7" ht="11.25">
      <c r="A38" s="24" t="str">
        <f>_xlfn.COMPOUNDVALUE(33)</f>
        <v>30-39 ans</v>
      </c>
      <c r="B38" s="20">
        <v>1296</v>
      </c>
      <c r="C38" s="20">
        <v>799</v>
      </c>
      <c r="D38" s="20">
        <v>261</v>
      </c>
      <c r="E38" s="20">
        <v>33</v>
      </c>
      <c r="F38" s="20">
        <v>143</v>
      </c>
      <c r="G38" s="20">
        <v>60</v>
      </c>
    </row>
    <row r="39" spans="1:7" ht="11.25">
      <c r="A39" s="24" t="str">
        <f>_xlfn.COMPOUNDVALUE(34)</f>
        <v>40-49 ans</v>
      </c>
      <c r="B39" s="20">
        <v>1293</v>
      </c>
      <c r="C39" s="20">
        <v>977</v>
      </c>
      <c r="D39" s="20">
        <v>168</v>
      </c>
      <c r="E39" s="20">
        <v>12</v>
      </c>
      <c r="F39" s="20">
        <v>97</v>
      </c>
      <c r="G39" s="20">
        <v>39</v>
      </c>
    </row>
    <row r="40" spans="1:7" ht="11.25">
      <c r="A40" s="24" t="str">
        <f>_xlfn.COMPOUNDVALUE(35)</f>
        <v>50-59 ans</v>
      </c>
      <c r="B40" s="20">
        <v>950</v>
      </c>
      <c r="C40" s="20">
        <v>772</v>
      </c>
      <c r="D40" s="20">
        <v>84</v>
      </c>
      <c r="E40" s="20">
        <v>10</v>
      </c>
      <c r="F40" s="20">
        <v>58</v>
      </c>
      <c r="G40" s="20">
        <v>26</v>
      </c>
    </row>
    <row r="41" spans="1:7" ht="11.25">
      <c r="A41" s="24" t="str">
        <f>_xlfn.COMPOUNDVALUE(36)</f>
        <v>60-69 ans</v>
      </c>
      <c r="B41" s="20">
        <v>500</v>
      </c>
      <c r="C41" s="20">
        <v>427</v>
      </c>
      <c r="D41" s="20">
        <v>31</v>
      </c>
      <c r="E41" s="20">
        <v>8</v>
      </c>
      <c r="F41" s="20">
        <v>23</v>
      </c>
      <c r="G41" s="20">
        <v>11</v>
      </c>
    </row>
    <row r="42" spans="1:7" ht="11.25">
      <c r="A42" s="24" t="str">
        <f>_xlfn.COMPOUNDVALUE(37)</f>
        <v>70-79 ans</v>
      </c>
      <c r="B42" s="20">
        <v>284</v>
      </c>
      <c r="C42" s="20">
        <v>267</v>
      </c>
      <c r="D42" s="20">
        <v>8</v>
      </c>
      <c r="E42" s="20">
        <v>1</v>
      </c>
      <c r="F42" s="20">
        <v>6</v>
      </c>
      <c r="G42" s="20">
        <v>2</v>
      </c>
    </row>
    <row r="43" spans="1:7" ht="11.25">
      <c r="A43" s="24" t="str">
        <f>_xlfn.COMPOUNDVALUE(47)</f>
        <v>80 ans et plus</v>
      </c>
      <c r="B43" s="20">
        <v>81</v>
      </c>
      <c r="C43" s="20">
        <v>69</v>
      </c>
      <c r="D43" s="20">
        <v>6</v>
      </c>
      <c r="E43" s="20">
        <v>0</v>
      </c>
      <c r="F43" s="20">
        <v>5</v>
      </c>
      <c r="G43" s="20">
        <v>1</v>
      </c>
    </row>
    <row r="44" spans="1:7" ht="11.25">
      <c r="A44" s="22" t="str">
        <f>_xlfn.COMPOUNDVALUE(56)</f>
        <v>Australes</v>
      </c>
      <c r="B44" s="41">
        <v>6205</v>
      </c>
      <c r="C44" s="41">
        <v>4372</v>
      </c>
      <c r="D44" s="41">
        <v>761</v>
      </c>
      <c r="E44" s="41">
        <v>62</v>
      </c>
      <c r="F44" s="41">
        <v>873</v>
      </c>
      <c r="G44" s="41">
        <v>137</v>
      </c>
    </row>
    <row r="45" spans="1:7" ht="11.25">
      <c r="A45" s="24" t="s">
        <v>110</v>
      </c>
      <c r="B45" s="20">
        <v>616</v>
      </c>
      <c r="C45" s="20">
        <v>388</v>
      </c>
      <c r="D45" s="20">
        <v>101</v>
      </c>
      <c r="E45" s="20">
        <v>7</v>
      </c>
      <c r="F45" s="20">
        <v>102</v>
      </c>
      <c r="G45" s="20">
        <v>18</v>
      </c>
    </row>
    <row r="46" spans="1:7" ht="11.25">
      <c r="A46" s="24" t="str">
        <f>_xlfn.COMPOUNDVALUE(31)</f>
        <v>10-19 ans</v>
      </c>
      <c r="B46" s="20">
        <v>1162</v>
      </c>
      <c r="C46" s="20">
        <v>854</v>
      </c>
      <c r="D46" s="20">
        <v>140</v>
      </c>
      <c r="E46" s="20">
        <v>14</v>
      </c>
      <c r="F46" s="20">
        <v>146</v>
      </c>
      <c r="G46" s="20">
        <v>8</v>
      </c>
    </row>
    <row r="47" spans="1:7" ht="11.25">
      <c r="A47" s="24" t="str">
        <f>_xlfn.COMPOUNDVALUE(32)</f>
        <v>20-29 ans</v>
      </c>
      <c r="B47" s="20">
        <v>1106</v>
      </c>
      <c r="C47" s="20">
        <v>625</v>
      </c>
      <c r="D47" s="20">
        <v>142</v>
      </c>
      <c r="E47" s="20">
        <v>24</v>
      </c>
      <c r="F47" s="20">
        <v>284</v>
      </c>
      <c r="G47" s="20">
        <v>31</v>
      </c>
    </row>
    <row r="48" spans="1:7" ht="11.25">
      <c r="A48" s="24" t="str">
        <f>_xlfn.COMPOUNDVALUE(33)</f>
        <v>30-39 ans</v>
      </c>
      <c r="B48" s="20">
        <v>885</v>
      </c>
      <c r="C48" s="20">
        <v>554</v>
      </c>
      <c r="D48" s="20">
        <v>155</v>
      </c>
      <c r="E48" s="20">
        <v>6</v>
      </c>
      <c r="F48" s="20">
        <v>137</v>
      </c>
      <c r="G48" s="20">
        <v>33</v>
      </c>
    </row>
    <row r="49" spans="1:7" ht="11.25">
      <c r="A49" s="24" t="str">
        <f>_xlfn.COMPOUNDVALUE(34)</f>
        <v>40-49 ans</v>
      </c>
      <c r="B49" s="20">
        <v>941</v>
      </c>
      <c r="C49" s="20">
        <v>691</v>
      </c>
      <c r="D49" s="20">
        <v>116</v>
      </c>
      <c r="E49" s="20">
        <v>7</v>
      </c>
      <c r="F49" s="20">
        <v>102</v>
      </c>
      <c r="G49" s="20">
        <v>25</v>
      </c>
    </row>
    <row r="50" spans="1:7" ht="11.25">
      <c r="A50" s="24" t="str">
        <f>_xlfn.COMPOUNDVALUE(35)</f>
        <v>50-59 ans</v>
      </c>
      <c r="B50" s="20">
        <v>722</v>
      </c>
      <c r="C50" s="20">
        <v>592</v>
      </c>
      <c r="D50" s="20">
        <v>49</v>
      </c>
      <c r="E50" s="20">
        <v>4</v>
      </c>
      <c r="F50" s="20">
        <v>58</v>
      </c>
      <c r="G50" s="20">
        <v>19</v>
      </c>
    </row>
    <row r="51" spans="1:7" ht="11.25">
      <c r="A51" s="24" t="str">
        <f>_xlfn.COMPOUNDVALUE(36)</f>
        <v>60-69 ans</v>
      </c>
      <c r="B51" s="20">
        <v>413</v>
      </c>
      <c r="C51" s="20">
        <v>349</v>
      </c>
      <c r="D51" s="20">
        <v>32</v>
      </c>
      <c r="E51" s="20">
        <v>0</v>
      </c>
      <c r="F51" s="20">
        <v>29</v>
      </c>
      <c r="G51" s="20">
        <v>3</v>
      </c>
    </row>
    <row r="52" spans="1:7" ht="11.25">
      <c r="A52" s="24" t="str">
        <f>_xlfn.COMPOUNDVALUE(37)</f>
        <v>70-79 ans</v>
      </c>
      <c r="B52" s="20">
        <v>270</v>
      </c>
      <c r="C52" s="20">
        <v>238</v>
      </c>
      <c r="D52" s="20">
        <v>18</v>
      </c>
      <c r="E52" s="20">
        <v>0</v>
      </c>
      <c r="F52" s="20">
        <v>14</v>
      </c>
      <c r="G52" s="20">
        <v>0</v>
      </c>
    </row>
    <row r="53" spans="1:7" ht="11.25">
      <c r="A53" s="24" t="str">
        <f>_xlfn.COMPOUNDVALUE(47)</f>
        <v>80 ans et plus</v>
      </c>
      <c r="B53" s="20">
        <v>90</v>
      </c>
      <c r="C53" s="20">
        <v>81</v>
      </c>
      <c r="D53" s="20">
        <v>8</v>
      </c>
      <c r="E53" s="20">
        <v>0</v>
      </c>
      <c r="F53" s="20">
        <v>1</v>
      </c>
      <c r="G53" s="20">
        <v>0</v>
      </c>
    </row>
    <row r="54" spans="1:7" ht="11.25">
      <c r="A54" s="22" t="str">
        <f>_xlfn.COMPOUNDVALUE(56)</f>
        <v>Tuamotu-Gambier</v>
      </c>
      <c r="B54" s="41">
        <v>15393</v>
      </c>
      <c r="C54" s="41">
        <v>10825</v>
      </c>
      <c r="D54" s="41">
        <v>1655</v>
      </c>
      <c r="E54" s="41">
        <v>362</v>
      </c>
      <c r="F54" s="41">
        <v>2222</v>
      </c>
      <c r="G54" s="41">
        <v>329</v>
      </c>
    </row>
    <row r="55" spans="1:7" ht="11.25">
      <c r="A55" s="24" t="s">
        <v>110</v>
      </c>
      <c r="B55" s="20">
        <v>1518</v>
      </c>
      <c r="C55" s="20">
        <v>1070</v>
      </c>
      <c r="D55" s="20">
        <v>199</v>
      </c>
      <c r="E55" s="20">
        <v>32</v>
      </c>
      <c r="F55" s="20">
        <v>193</v>
      </c>
      <c r="G55" s="20">
        <v>24</v>
      </c>
    </row>
    <row r="56" spans="1:7" ht="11.25">
      <c r="A56" s="24" t="str">
        <f>_xlfn.COMPOUNDVALUE(31)</f>
        <v>10-19 ans</v>
      </c>
      <c r="B56" s="20">
        <v>2961</v>
      </c>
      <c r="C56" s="20">
        <v>2290</v>
      </c>
      <c r="D56" s="20">
        <v>273</v>
      </c>
      <c r="E56" s="20">
        <v>55</v>
      </c>
      <c r="F56" s="20">
        <v>320</v>
      </c>
      <c r="G56" s="20">
        <v>23</v>
      </c>
    </row>
    <row r="57" spans="1:7" ht="11.25">
      <c r="A57" s="24" t="str">
        <f>_xlfn.COMPOUNDVALUE(32)</f>
        <v>20-29 ans</v>
      </c>
      <c r="B57" s="20">
        <v>3134</v>
      </c>
      <c r="C57" s="20">
        <v>1733</v>
      </c>
      <c r="D57" s="20">
        <v>452</v>
      </c>
      <c r="E57" s="20">
        <v>124</v>
      </c>
      <c r="F57" s="20">
        <v>763</v>
      </c>
      <c r="G57" s="20">
        <v>62</v>
      </c>
    </row>
    <row r="58" spans="1:7" ht="11.25">
      <c r="A58" s="24" t="str">
        <f>_xlfn.COMPOUNDVALUE(33)</f>
        <v>30-39 ans</v>
      </c>
      <c r="B58" s="20">
        <v>2633</v>
      </c>
      <c r="C58" s="20">
        <v>1741</v>
      </c>
      <c r="D58" s="20">
        <v>334</v>
      </c>
      <c r="E58" s="20">
        <v>63</v>
      </c>
      <c r="F58" s="20">
        <v>395</v>
      </c>
      <c r="G58" s="20">
        <v>100</v>
      </c>
    </row>
    <row r="59" spans="1:7" ht="11.25">
      <c r="A59" s="24" t="str">
        <f>_xlfn.COMPOUNDVALUE(34)</f>
        <v>40-49 ans</v>
      </c>
      <c r="B59" s="20">
        <v>2274</v>
      </c>
      <c r="C59" s="20">
        <v>1698</v>
      </c>
      <c r="D59" s="20">
        <v>202</v>
      </c>
      <c r="E59" s="20">
        <v>51</v>
      </c>
      <c r="F59" s="20">
        <v>249</v>
      </c>
      <c r="G59" s="20">
        <v>74</v>
      </c>
    </row>
    <row r="60" spans="1:7" ht="11.25">
      <c r="A60" s="24" t="str">
        <f>_xlfn.COMPOUNDVALUE(35)</f>
        <v>50-59 ans</v>
      </c>
      <c r="B60" s="20">
        <v>1517</v>
      </c>
      <c r="C60" s="20">
        <v>1153</v>
      </c>
      <c r="D60" s="20">
        <v>121</v>
      </c>
      <c r="E60" s="20">
        <v>18</v>
      </c>
      <c r="F60" s="20">
        <v>187</v>
      </c>
      <c r="G60" s="20">
        <v>38</v>
      </c>
    </row>
    <row r="61" spans="1:7" ht="11.25">
      <c r="A61" s="24" t="str">
        <f>_xlfn.COMPOUNDVALUE(36)</f>
        <v>60-69 ans</v>
      </c>
      <c r="B61" s="20">
        <v>825</v>
      </c>
      <c r="C61" s="20">
        <v>680</v>
      </c>
      <c r="D61" s="20">
        <v>42</v>
      </c>
      <c r="E61" s="20">
        <v>12</v>
      </c>
      <c r="F61" s="20">
        <v>85</v>
      </c>
      <c r="G61" s="20">
        <v>6</v>
      </c>
    </row>
    <row r="62" spans="1:7" ht="11.25">
      <c r="A62" s="24" t="str">
        <f>_xlfn.COMPOUNDVALUE(37)</f>
        <v>70-79 ans</v>
      </c>
      <c r="B62" s="20">
        <v>449</v>
      </c>
      <c r="C62" s="20">
        <v>387</v>
      </c>
      <c r="D62" s="20">
        <v>27</v>
      </c>
      <c r="E62" s="20">
        <v>6</v>
      </c>
      <c r="F62" s="20">
        <v>27</v>
      </c>
      <c r="G62" s="20">
        <v>2</v>
      </c>
    </row>
    <row r="63" spans="1:7" ht="11.25">
      <c r="A63" s="61" t="str">
        <f>_xlfn.COMPOUNDVALUE(47)</f>
        <v>80 ans et plus</v>
      </c>
      <c r="B63" s="62">
        <v>82</v>
      </c>
      <c r="C63" s="62">
        <v>73</v>
      </c>
      <c r="D63" s="62">
        <v>5</v>
      </c>
      <c r="E63" s="62">
        <v>1</v>
      </c>
      <c r="F63" s="62">
        <v>3</v>
      </c>
      <c r="G63" s="62">
        <v>0</v>
      </c>
    </row>
    <row r="64" spans="1:6" ht="11.25">
      <c r="A64" s="20"/>
      <c r="B64" s="28"/>
      <c r="C64" s="28"/>
      <c r="D64" s="28"/>
      <c r="E64" s="28"/>
      <c r="F64" s="28"/>
    </row>
    <row r="65" spans="1:7" ht="11.25">
      <c r="A65" s="17" t="s">
        <v>127</v>
      </c>
      <c r="G65" s="29" t="s">
        <v>132</v>
      </c>
    </row>
  </sheetData>
  <sheetProtection/>
  <mergeCells count="2">
    <mergeCell ref="A1:G1"/>
    <mergeCell ref="C2:G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headerFooter>
    <oddFooter>&amp;LMigrations  &amp;P /&amp;N&amp;R&amp;G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0">
      <selection activeCell="A4" sqref="A4:G57"/>
    </sheetView>
  </sheetViews>
  <sheetFormatPr defaultColWidth="12" defaultRowHeight="11.25"/>
  <cols>
    <col min="1" max="1" width="39.83203125" style="20" customWidth="1"/>
    <col min="2" max="2" width="8.66015625" style="20" bestFit="1" customWidth="1"/>
    <col min="3" max="3" width="9.5" style="20" customWidth="1"/>
    <col min="4" max="4" width="11" style="20" customWidth="1"/>
    <col min="5" max="5" width="10.16015625" style="20" customWidth="1"/>
    <col min="6" max="6" width="10.33203125" style="20" customWidth="1"/>
    <col min="7" max="7" width="9.5" style="20" customWidth="1"/>
    <col min="8" max="16384" width="12" style="20" customWidth="1"/>
  </cols>
  <sheetData>
    <row r="1" spans="1:7" ht="33" customHeight="1">
      <c r="A1" s="85" t="s">
        <v>133</v>
      </c>
      <c r="B1" s="87"/>
      <c r="C1" s="87"/>
      <c r="D1" s="87"/>
      <c r="E1" s="87"/>
      <c r="F1" s="87"/>
      <c r="G1" s="87"/>
    </row>
    <row r="2" spans="3:7" ht="11.25">
      <c r="C2" s="86" t="s">
        <v>130</v>
      </c>
      <c r="D2" s="86"/>
      <c r="E2" s="86"/>
      <c r="F2" s="86"/>
      <c r="G2" s="79"/>
    </row>
    <row r="3" spans="1:7" ht="54" customHeight="1">
      <c r="A3" s="69" t="s">
        <v>104</v>
      </c>
      <c r="B3" s="59" t="str">
        <f>_xlfn.COMPOUNDVALUE(75)</f>
        <v>Ensemble</v>
      </c>
      <c r="C3" s="38" t="str">
        <f>_xlfn.COMPOUNDVALUE(14)</f>
        <v>Même logement</v>
      </c>
      <c r="D3" s="38" t="str">
        <f>_xlfn.COMPOUNDVALUE(15)</f>
        <v>Autre logement, même commune</v>
      </c>
      <c r="E3" s="38" t="str">
        <f>_xlfn.COMPOUNDVALUE(16)</f>
        <v>Autre commune, même subdivision</v>
      </c>
      <c r="F3" s="38" t="str">
        <f>_xlfn.COMPOUNDVALUE(17)</f>
        <v>Autre subdivision</v>
      </c>
      <c r="G3" s="38" t="str">
        <f>_xlfn.COMPOUNDVALUE(18)</f>
        <v>Hors Polynésie française</v>
      </c>
    </row>
    <row r="4" spans="1:7" ht="11.25">
      <c r="A4" s="40" t="str">
        <f>_xlfn.COMPOUNDVALUE(38)</f>
        <v>Ensemble</v>
      </c>
      <c r="B4" s="41">
        <v>245866</v>
      </c>
      <c r="C4" s="41">
        <v>176218</v>
      </c>
      <c r="D4" s="41">
        <v>23661</v>
      </c>
      <c r="E4" s="41">
        <v>24155</v>
      </c>
      <c r="F4" s="41">
        <v>11210</v>
      </c>
      <c r="G4" s="41">
        <v>10622</v>
      </c>
    </row>
    <row r="5" spans="1:7" ht="11.25">
      <c r="A5" s="43" t="str">
        <f>_xlfn.COMPOUNDVALUE(39)</f>
        <v>Agriculteurs exploitants</v>
      </c>
      <c r="B5" s="20">
        <v>5047</v>
      </c>
      <c r="C5" s="20">
        <v>3875</v>
      </c>
      <c r="D5" s="20">
        <v>572</v>
      </c>
      <c r="E5" s="20">
        <v>185</v>
      </c>
      <c r="F5" s="20">
        <v>387</v>
      </c>
      <c r="G5" s="20">
        <v>28</v>
      </c>
    </row>
    <row r="6" spans="1:7" ht="11.25">
      <c r="A6" s="43" t="str">
        <f>_xlfn.COMPOUNDVALUE(40)</f>
        <v>Artisans, commerçants et chefs d'entreprise</v>
      </c>
      <c r="B6" s="20">
        <v>9883</v>
      </c>
      <c r="C6" s="20">
        <v>6797</v>
      </c>
      <c r="D6" s="20">
        <v>1176</v>
      </c>
      <c r="E6" s="20">
        <v>1151</v>
      </c>
      <c r="F6" s="20">
        <v>345</v>
      </c>
      <c r="G6" s="20">
        <v>414</v>
      </c>
    </row>
    <row r="7" spans="1:7" ht="11.25">
      <c r="A7" s="43" t="str">
        <f>_xlfn.COMPOUNDVALUE(41)</f>
        <v>Cadres et professions intellectuelles supérieures</v>
      </c>
      <c r="B7" s="20">
        <v>7782</v>
      </c>
      <c r="C7" s="20">
        <v>3654</v>
      </c>
      <c r="D7" s="20">
        <v>836</v>
      </c>
      <c r="E7" s="20">
        <v>1340</v>
      </c>
      <c r="F7" s="20">
        <v>207</v>
      </c>
      <c r="G7" s="20">
        <v>1745</v>
      </c>
    </row>
    <row r="8" spans="1:7" ht="11.25">
      <c r="A8" s="43" t="str">
        <f>_xlfn.COMPOUNDVALUE(42)</f>
        <v>Professions intermédiaires</v>
      </c>
      <c r="B8" s="20">
        <v>14013</v>
      </c>
      <c r="C8" s="20">
        <v>7530</v>
      </c>
      <c r="D8" s="20">
        <v>1592</v>
      </c>
      <c r="E8" s="20">
        <v>2379</v>
      </c>
      <c r="F8" s="20">
        <v>717</v>
      </c>
      <c r="G8" s="20">
        <v>1795</v>
      </c>
    </row>
    <row r="9" spans="1:7" ht="11.25">
      <c r="A9" s="43" t="str">
        <f>_xlfn.COMPOUNDVALUE(43)</f>
        <v>Employés</v>
      </c>
      <c r="B9" s="20">
        <v>29764</v>
      </c>
      <c r="C9" s="20">
        <v>20326</v>
      </c>
      <c r="D9" s="20">
        <v>3345</v>
      </c>
      <c r="E9" s="20">
        <v>3777</v>
      </c>
      <c r="F9" s="20">
        <v>1042</v>
      </c>
      <c r="G9" s="20">
        <v>1274</v>
      </c>
    </row>
    <row r="10" spans="1:7" ht="11.25">
      <c r="A10" s="43" t="str">
        <f>_xlfn.COMPOUNDVALUE(44)</f>
        <v>Ouvriers</v>
      </c>
      <c r="B10" s="20">
        <v>22681</v>
      </c>
      <c r="C10" s="20">
        <v>16448</v>
      </c>
      <c r="D10" s="20">
        <v>2504</v>
      </c>
      <c r="E10" s="20">
        <v>2294</v>
      </c>
      <c r="F10" s="20">
        <v>1066</v>
      </c>
      <c r="G10" s="20">
        <v>369</v>
      </c>
    </row>
    <row r="11" spans="1:7" ht="11.25">
      <c r="A11" s="43" t="str">
        <f>_xlfn.COMPOUNDVALUE(45)</f>
        <v>Retraités</v>
      </c>
      <c r="B11" s="20">
        <v>27547</v>
      </c>
      <c r="C11" s="20">
        <v>23448</v>
      </c>
      <c r="D11" s="20">
        <v>1330</v>
      </c>
      <c r="E11" s="20">
        <v>1416</v>
      </c>
      <c r="F11" s="20">
        <v>852</v>
      </c>
      <c r="G11" s="20">
        <v>501</v>
      </c>
    </row>
    <row r="12" spans="1:7" ht="11.25">
      <c r="A12" s="43" t="str">
        <f>_xlfn.COMPOUNDVALUE(46)</f>
        <v>Autres personnes sans activité professionnelle</v>
      </c>
      <c r="B12" s="20">
        <v>129149</v>
      </c>
      <c r="C12" s="20">
        <v>94140</v>
      </c>
      <c r="D12" s="20">
        <v>12306</v>
      </c>
      <c r="E12" s="20">
        <v>11613</v>
      </c>
      <c r="F12" s="20">
        <v>6594</v>
      </c>
      <c r="G12" s="20">
        <v>4496</v>
      </c>
    </row>
    <row r="13" spans="1:7" ht="11.25">
      <c r="A13" s="40" t="str">
        <f>_xlfn.COMPOUNDVALUE(56)</f>
        <v>Iles Du Vent</v>
      </c>
      <c r="B13" s="41">
        <v>184301</v>
      </c>
      <c r="C13" s="41">
        <v>131096</v>
      </c>
      <c r="D13" s="41">
        <v>16764</v>
      </c>
      <c r="E13" s="41">
        <v>22552</v>
      </c>
      <c r="F13" s="41">
        <v>5013</v>
      </c>
      <c r="G13" s="41">
        <v>8876</v>
      </c>
    </row>
    <row r="14" spans="1:7" ht="11.25">
      <c r="A14" s="43" t="str">
        <f>_xlfn.COMPOUNDVALUE(39)</f>
        <v>Agriculteurs exploitants</v>
      </c>
      <c r="B14" s="20">
        <v>1580</v>
      </c>
      <c r="C14" s="20">
        <v>1242</v>
      </c>
      <c r="D14" s="20">
        <v>172</v>
      </c>
      <c r="E14" s="20">
        <v>111</v>
      </c>
      <c r="F14" s="20">
        <v>42</v>
      </c>
      <c r="G14" s="20">
        <v>13</v>
      </c>
    </row>
    <row r="15" spans="1:7" ht="11.25">
      <c r="A15" s="43" t="str">
        <f>_xlfn.COMPOUNDVALUE(40)</f>
        <v>Artisans, commerçants et chefs d'entreprise</v>
      </c>
      <c r="B15" s="20">
        <v>7443</v>
      </c>
      <c r="C15" s="20">
        <v>5004</v>
      </c>
      <c r="D15" s="20">
        <v>854</v>
      </c>
      <c r="E15" s="20">
        <v>1095</v>
      </c>
      <c r="F15" s="20">
        <v>133</v>
      </c>
      <c r="G15" s="20">
        <v>357</v>
      </c>
    </row>
    <row r="16" spans="1:7" ht="11.25">
      <c r="A16" s="43" t="str">
        <f>_xlfn.COMPOUNDVALUE(41)</f>
        <v>Cadres et professions intellectuelles supérieures</v>
      </c>
      <c r="B16" s="20">
        <v>7030</v>
      </c>
      <c r="C16" s="20">
        <v>3342</v>
      </c>
      <c r="D16" s="20">
        <v>756</v>
      </c>
      <c r="E16" s="20">
        <v>1310</v>
      </c>
      <c r="F16" s="20">
        <v>97</v>
      </c>
      <c r="G16" s="20">
        <v>1525</v>
      </c>
    </row>
    <row r="17" spans="1:7" ht="11.25">
      <c r="A17" s="43" t="str">
        <f>_xlfn.COMPOUNDVALUE(42)</f>
        <v>Professions intermédiaires</v>
      </c>
      <c r="B17" s="20">
        <v>11707</v>
      </c>
      <c r="C17" s="20">
        <v>6383</v>
      </c>
      <c r="D17" s="20">
        <v>1293</v>
      </c>
      <c r="E17" s="20">
        <v>2295</v>
      </c>
      <c r="F17" s="20">
        <v>260</v>
      </c>
      <c r="G17" s="20">
        <v>1476</v>
      </c>
    </row>
    <row r="18" spans="1:7" ht="11.25">
      <c r="A18" s="43" t="str">
        <f>_xlfn.COMPOUNDVALUE(43)</f>
        <v>Employés</v>
      </c>
      <c r="B18" s="20">
        <v>23950</v>
      </c>
      <c r="C18" s="20">
        <v>16194</v>
      </c>
      <c r="D18" s="20">
        <v>2555</v>
      </c>
      <c r="E18" s="20">
        <v>3640</v>
      </c>
      <c r="F18" s="20">
        <v>492</v>
      </c>
      <c r="G18" s="20">
        <v>1069</v>
      </c>
    </row>
    <row r="19" spans="1:7" ht="11.25">
      <c r="A19" s="43" t="str">
        <f>_xlfn.COMPOUNDVALUE(44)</f>
        <v>Ouvriers</v>
      </c>
      <c r="B19" s="20">
        <v>16849</v>
      </c>
      <c r="C19" s="20">
        <v>12333</v>
      </c>
      <c r="D19" s="20">
        <v>1718</v>
      </c>
      <c r="E19" s="20">
        <v>2111</v>
      </c>
      <c r="F19" s="20">
        <v>448</v>
      </c>
      <c r="G19" s="20">
        <v>239</v>
      </c>
    </row>
    <row r="20" spans="1:7" ht="11.25">
      <c r="A20" s="43" t="str">
        <f>_xlfn.COMPOUNDVALUE(45)</f>
        <v>Retraités</v>
      </c>
      <c r="B20" s="20">
        <v>21483</v>
      </c>
      <c r="C20" s="20">
        <v>18444</v>
      </c>
      <c r="D20" s="20">
        <v>980</v>
      </c>
      <c r="E20" s="20">
        <v>1324</v>
      </c>
      <c r="F20" s="20">
        <v>325</v>
      </c>
      <c r="G20" s="20">
        <v>410</v>
      </c>
    </row>
    <row r="21" spans="1:7" ht="11.25">
      <c r="A21" s="43" t="str">
        <f>_xlfn.COMPOUNDVALUE(46)</f>
        <v>Autres personnes sans activité professionnelle</v>
      </c>
      <c r="B21" s="20">
        <v>94259</v>
      </c>
      <c r="C21" s="20">
        <v>68154</v>
      </c>
      <c r="D21" s="20">
        <v>8436</v>
      </c>
      <c r="E21" s="20">
        <v>10666</v>
      </c>
      <c r="F21" s="20">
        <v>3216</v>
      </c>
      <c r="G21" s="20">
        <v>3787</v>
      </c>
    </row>
    <row r="22" spans="1:7" ht="11.25">
      <c r="A22" s="40" t="str">
        <f>_xlfn.COMPOUNDVALUE(56)</f>
        <v>Iles Sous-Le-Vent</v>
      </c>
      <c r="B22" s="41">
        <v>31603</v>
      </c>
      <c r="C22" s="41">
        <v>24001</v>
      </c>
      <c r="D22" s="41">
        <v>3276</v>
      </c>
      <c r="E22" s="41">
        <v>970</v>
      </c>
      <c r="F22" s="41">
        <v>2283</v>
      </c>
      <c r="G22" s="41">
        <v>1073</v>
      </c>
    </row>
    <row r="23" spans="1:7" ht="11.25">
      <c r="A23" s="43" t="str">
        <f>_xlfn.COMPOUNDVALUE(39)</f>
        <v>Agriculteurs exploitants</v>
      </c>
      <c r="B23" s="20">
        <v>1184</v>
      </c>
      <c r="C23" s="20">
        <v>976</v>
      </c>
      <c r="D23" s="20">
        <v>121</v>
      </c>
      <c r="E23" s="20">
        <v>28</v>
      </c>
      <c r="F23" s="20">
        <v>52</v>
      </c>
      <c r="G23" s="20">
        <v>7</v>
      </c>
    </row>
    <row r="24" spans="1:7" ht="11.25">
      <c r="A24" s="43" t="str">
        <f>_xlfn.COMPOUNDVALUE(40)</f>
        <v>Artisans, commerçants et chefs d'entreprise</v>
      </c>
      <c r="B24" s="20">
        <v>1205</v>
      </c>
      <c r="C24" s="20">
        <v>882</v>
      </c>
      <c r="D24" s="20">
        <v>169</v>
      </c>
      <c r="E24" s="20">
        <v>43</v>
      </c>
      <c r="F24" s="20">
        <v>80</v>
      </c>
      <c r="G24" s="20">
        <v>31</v>
      </c>
    </row>
    <row r="25" spans="1:7" ht="11.25">
      <c r="A25" s="43" t="str">
        <f>_xlfn.COMPOUNDVALUE(41)</f>
        <v>Cadres et professions intellectuelles supérieures</v>
      </c>
      <c r="B25" s="20">
        <v>490</v>
      </c>
      <c r="C25" s="20">
        <v>198</v>
      </c>
      <c r="D25" s="20">
        <v>48</v>
      </c>
      <c r="E25" s="20">
        <v>26</v>
      </c>
      <c r="F25" s="20">
        <v>59</v>
      </c>
      <c r="G25" s="20">
        <v>159</v>
      </c>
    </row>
    <row r="26" spans="1:7" ht="11.25">
      <c r="A26" s="43" t="str">
        <f>_xlfn.COMPOUNDVALUE(42)</f>
        <v>Professions intermédiaires</v>
      </c>
      <c r="B26" s="20">
        <v>1126</v>
      </c>
      <c r="C26" s="20">
        <v>576</v>
      </c>
      <c r="D26" s="20">
        <v>144</v>
      </c>
      <c r="E26" s="20">
        <v>61</v>
      </c>
      <c r="F26" s="20">
        <v>175</v>
      </c>
      <c r="G26" s="20">
        <v>170</v>
      </c>
    </row>
    <row r="27" spans="1:7" ht="11.25">
      <c r="A27" s="43" t="str">
        <f>_xlfn.COMPOUNDVALUE(43)</f>
        <v>Employés</v>
      </c>
      <c r="B27" s="20">
        <v>3630</v>
      </c>
      <c r="C27" s="20">
        <v>2619</v>
      </c>
      <c r="D27" s="20">
        <v>501</v>
      </c>
      <c r="E27" s="20">
        <v>109</v>
      </c>
      <c r="F27" s="20">
        <v>262</v>
      </c>
      <c r="G27" s="20">
        <v>139</v>
      </c>
    </row>
    <row r="28" spans="1:7" ht="11.25">
      <c r="A28" s="43" t="str">
        <f>_xlfn.COMPOUNDVALUE(44)</f>
        <v>Ouvriers</v>
      </c>
      <c r="B28" s="20">
        <v>2548</v>
      </c>
      <c r="C28" s="20">
        <v>1957</v>
      </c>
      <c r="D28" s="20">
        <v>326</v>
      </c>
      <c r="E28" s="20">
        <v>67</v>
      </c>
      <c r="F28" s="20">
        <v>125</v>
      </c>
      <c r="G28" s="20">
        <v>73</v>
      </c>
    </row>
    <row r="29" spans="1:7" ht="11.25">
      <c r="A29" s="43" t="str">
        <f>_xlfn.COMPOUNDVALUE(45)</f>
        <v>Retraités</v>
      </c>
      <c r="B29" s="20">
        <v>3306</v>
      </c>
      <c r="C29" s="20">
        <v>2749</v>
      </c>
      <c r="D29" s="20">
        <v>166</v>
      </c>
      <c r="E29" s="20">
        <v>66</v>
      </c>
      <c r="F29" s="20">
        <v>263</v>
      </c>
      <c r="G29" s="20">
        <v>62</v>
      </c>
    </row>
    <row r="30" spans="1:7" ht="11.25">
      <c r="A30" s="43" t="str">
        <f>_xlfn.COMPOUNDVALUE(46)</f>
        <v>Autres personnes sans activité professionnelle</v>
      </c>
      <c r="B30" s="20">
        <v>18114</v>
      </c>
      <c r="C30" s="20">
        <v>14044</v>
      </c>
      <c r="D30" s="20">
        <v>1801</v>
      </c>
      <c r="E30" s="20">
        <v>570</v>
      </c>
      <c r="F30" s="20">
        <v>1267</v>
      </c>
      <c r="G30" s="20">
        <v>432</v>
      </c>
    </row>
    <row r="31" spans="1:7" ht="11.25">
      <c r="A31" s="40" t="str">
        <f>_xlfn.COMPOUNDVALUE(56)</f>
        <v>Marquises</v>
      </c>
      <c r="B31" s="41">
        <v>8364</v>
      </c>
      <c r="C31" s="41">
        <v>5924</v>
      </c>
      <c r="D31" s="41">
        <v>1205</v>
      </c>
      <c r="E31" s="41">
        <v>209</v>
      </c>
      <c r="F31" s="41">
        <v>819</v>
      </c>
      <c r="G31" s="41">
        <v>207</v>
      </c>
    </row>
    <row r="32" spans="1:7" ht="11.25">
      <c r="A32" s="43" t="str">
        <f>_xlfn.COMPOUNDVALUE(39)</f>
        <v>Agriculteurs exploitants</v>
      </c>
      <c r="B32" s="20">
        <v>467</v>
      </c>
      <c r="C32" s="20">
        <v>368</v>
      </c>
      <c r="D32" s="20">
        <v>60</v>
      </c>
      <c r="E32" s="20">
        <v>8</v>
      </c>
      <c r="F32" s="20">
        <v>31</v>
      </c>
      <c r="G32" s="20">
        <v>0</v>
      </c>
    </row>
    <row r="33" spans="1:7" ht="11.25">
      <c r="A33" s="43" t="str">
        <f>_xlfn.COMPOUNDVALUE(40)</f>
        <v>Artisans, commerçants et chefs d'entreprise</v>
      </c>
      <c r="B33" s="20">
        <v>467</v>
      </c>
      <c r="C33" s="20">
        <v>344</v>
      </c>
      <c r="D33" s="20">
        <v>62</v>
      </c>
      <c r="E33" s="20">
        <v>10</v>
      </c>
      <c r="F33" s="20">
        <v>40</v>
      </c>
      <c r="G33" s="20">
        <v>11</v>
      </c>
    </row>
    <row r="34" spans="1:7" ht="11.25">
      <c r="A34" s="43" t="str">
        <f>_xlfn.COMPOUNDVALUE(41)</f>
        <v>Cadres et professions intellectuelles supérieures</v>
      </c>
      <c r="B34" s="20">
        <v>98</v>
      </c>
      <c r="C34" s="20">
        <v>34</v>
      </c>
      <c r="D34" s="20">
        <v>16</v>
      </c>
      <c r="E34" s="20">
        <v>0</v>
      </c>
      <c r="F34" s="20">
        <v>15</v>
      </c>
      <c r="G34" s="20">
        <v>33</v>
      </c>
    </row>
    <row r="35" spans="1:7" ht="11.25">
      <c r="A35" s="43" t="str">
        <f>_xlfn.COMPOUNDVALUE(42)</f>
        <v>Professions intermédiaires</v>
      </c>
      <c r="B35" s="20">
        <v>391</v>
      </c>
      <c r="C35" s="20">
        <v>177</v>
      </c>
      <c r="D35" s="20">
        <v>72</v>
      </c>
      <c r="E35" s="20">
        <v>6</v>
      </c>
      <c r="F35" s="20">
        <v>98</v>
      </c>
      <c r="G35" s="20">
        <v>38</v>
      </c>
    </row>
    <row r="36" spans="1:7" ht="11.25">
      <c r="A36" s="43" t="str">
        <f>_xlfn.COMPOUNDVALUE(43)</f>
        <v>Employés</v>
      </c>
      <c r="B36" s="20">
        <v>652</v>
      </c>
      <c r="C36" s="20">
        <v>463</v>
      </c>
      <c r="D36" s="20">
        <v>110</v>
      </c>
      <c r="E36" s="20">
        <v>9</v>
      </c>
      <c r="F36" s="20">
        <v>61</v>
      </c>
      <c r="G36" s="20">
        <v>9</v>
      </c>
    </row>
    <row r="37" spans="1:7" ht="11.25">
      <c r="A37" s="43" t="str">
        <f>_xlfn.COMPOUNDVALUE(44)</f>
        <v>Ouvriers</v>
      </c>
      <c r="B37" s="20">
        <v>633</v>
      </c>
      <c r="C37" s="20">
        <v>441</v>
      </c>
      <c r="D37" s="20">
        <v>106</v>
      </c>
      <c r="E37" s="20">
        <v>27</v>
      </c>
      <c r="F37" s="20">
        <v>57</v>
      </c>
      <c r="G37" s="20">
        <v>2</v>
      </c>
    </row>
    <row r="38" spans="1:7" ht="11.25">
      <c r="A38" s="43" t="str">
        <f>_xlfn.COMPOUNDVALUE(45)</f>
        <v>Retraités</v>
      </c>
      <c r="B38" s="20">
        <v>840</v>
      </c>
      <c r="C38" s="20">
        <v>716</v>
      </c>
      <c r="D38" s="20">
        <v>52</v>
      </c>
      <c r="E38" s="20">
        <v>9</v>
      </c>
      <c r="F38" s="20">
        <v>50</v>
      </c>
      <c r="G38" s="20">
        <v>13</v>
      </c>
    </row>
    <row r="39" spans="1:7" ht="11.25">
      <c r="A39" s="43" t="str">
        <f>_xlfn.COMPOUNDVALUE(46)</f>
        <v>Autres personnes sans activité professionnelle</v>
      </c>
      <c r="B39" s="20">
        <v>4816</v>
      </c>
      <c r="C39" s="20">
        <v>3381</v>
      </c>
      <c r="D39" s="20">
        <v>727</v>
      </c>
      <c r="E39" s="20">
        <v>140</v>
      </c>
      <c r="F39" s="20">
        <v>467</v>
      </c>
      <c r="G39" s="20">
        <v>101</v>
      </c>
    </row>
    <row r="40" spans="1:7" ht="11.25">
      <c r="A40" s="40" t="str">
        <f>_xlfn.COMPOUNDVALUE(56)</f>
        <v>Australes</v>
      </c>
      <c r="B40" s="41">
        <v>6205</v>
      </c>
      <c r="C40" s="41">
        <v>4372</v>
      </c>
      <c r="D40" s="41">
        <v>761</v>
      </c>
      <c r="E40" s="41">
        <v>62</v>
      </c>
      <c r="F40" s="41">
        <v>873</v>
      </c>
      <c r="G40" s="41">
        <v>137</v>
      </c>
    </row>
    <row r="41" spans="1:7" ht="11.25">
      <c r="A41" s="43" t="str">
        <f>_xlfn.COMPOUNDVALUE(39)</f>
        <v>Agriculteurs exploitants</v>
      </c>
      <c r="B41" s="20">
        <v>351</v>
      </c>
      <c r="C41" s="20">
        <v>269</v>
      </c>
      <c r="D41" s="20">
        <v>46</v>
      </c>
      <c r="E41" s="20">
        <v>2</v>
      </c>
      <c r="F41" s="20">
        <v>33</v>
      </c>
      <c r="G41" s="20">
        <v>1</v>
      </c>
    </row>
    <row r="42" spans="1:7" ht="11.25">
      <c r="A42" s="43" t="str">
        <f>_xlfn.COMPOUNDVALUE(40)</f>
        <v>Artisans, commerçants et chefs d'entreprise</v>
      </c>
      <c r="B42" s="20">
        <v>347</v>
      </c>
      <c r="C42" s="20">
        <v>259</v>
      </c>
      <c r="D42" s="20">
        <v>41</v>
      </c>
      <c r="E42" s="20">
        <v>1</v>
      </c>
      <c r="F42" s="20">
        <v>43</v>
      </c>
      <c r="G42" s="20">
        <v>3</v>
      </c>
    </row>
    <row r="43" spans="1:7" ht="11.25">
      <c r="A43" s="43" t="str">
        <f>_xlfn.COMPOUNDVALUE(41)</f>
        <v>Cadres et professions intellectuelles supérieures</v>
      </c>
      <c r="B43" s="20">
        <v>39</v>
      </c>
      <c r="C43" s="20">
        <v>18</v>
      </c>
      <c r="D43" s="20">
        <v>6</v>
      </c>
      <c r="E43" s="20">
        <v>0</v>
      </c>
      <c r="F43" s="20">
        <v>6</v>
      </c>
      <c r="G43" s="20">
        <v>9</v>
      </c>
    </row>
    <row r="44" spans="1:7" ht="11.25">
      <c r="A44" s="43" t="str">
        <f>_xlfn.COMPOUNDVALUE(42)</f>
        <v>Professions intermédiaires</v>
      </c>
      <c r="B44" s="20">
        <v>242</v>
      </c>
      <c r="C44" s="20">
        <v>137</v>
      </c>
      <c r="D44" s="20">
        <v>28</v>
      </c>
      <c r="E44" s="20">
        <v>4</v>
      </c>
      <c r="F44" s="20">
        <v>47</v>
      </c>
      <c r="G44" s="20">
        <v>26</v>
      </c>
    </row>
    <row r="45" spans="1:7" ht="11.25">
      <c r="A45" s="43" t="str">
        <f>_xlfn.COMPOUNDVALUE(43)</f>
        <v>Employés</v>
      </c>
      <c r="B45" s="20">
        <v>393</v>
      </c>
      <c r="C45" s="20">
        <v>256</v>
      </c>
      <c r="D45" s="20">
        <v>46</v>
      </c>
      <c r="E45" s="20">
        <v>5</v>
      </c>
      <c r="F45" s="20">
        <v>66</v>
      </c>
      <c r="G45" s="20">
        <v>20</v>
      </c>
    </row>
    <row r="46" spans="1:7" ht="11.25">
      <c r="A46" s="43" t="str">
        <f>_xlfn.COMPOUNDVALUE(44)</f>
        <v>Ouvriers</v>
      </c>
      <c r="B46" s="20">
        <v>659</v>
      </c>
      <c r="C46" s="20">
        <v>433</v>
      </c>
      <c r="D46" s="20">
        <v>87</v>
      </c>
      <c r="E46" s="20">
        <v>11</v>
      </c>
      <c r="F46" s="20">
        <v>124</v>
      </c>
      <c r="G46" s="20">
        <v>4</v>
      </c>
    </row>
    <row r="47" spans="1:7" ht="11.25">
      <c r="A47" s="43" t="str">
        <f>_xlfn.COMPOUNDVALUE(45)</f>
        <v>Retraités</v>
      </c>
      <c r="B47" s="20">
        <v>641</v>
      </c>
      <c r="C47" s="20">
        <v>521</v>
      </c>
      <c r="D47" s="20">
        <v>54</v>
      </c>
      <c r="E47" s="20">
        <v>1</v>
      </c>
      <c r="F47" s="20">
        <v>56</v>
      </c>
      <c r="G47" s="20">
        <v>9</v>
      </c>
    </row>
    <row r="48" spans="1:7" ht="11.25">
      <c r="A48" s="43" t="str">
        <f>_xlfn.COMPOUNDVALUE(46)</f>
        <v>Autres personnes sans activité professionnelle</v>
      </c>
      <c r="B48" s="20">
        <v>3533</v>
      </c>
      <c r="C48" s="20">
        <v>2479</v>
      </c>
      <c r="D48" s="20">
        <v>453</v>
      </c>
      <c r="E48" s="20">
        <v>38</v>
      </c>
      <c r="F48" s="20">
        <v>498</v>
      </c>
      <c r="G48" s="20">
        <v>65</v>
      </c>
    </row>
    <row r="49" spans="1:7" ht="11.25">
      <c r="A49" s="40" t="str">
        <f>_xlfn.COMPOUNDVALUE(56)</f>
        <v>Tuamotu-Gambier</v>
      </c>
      <c r="B49" s="41">
        <v>15393</v>
      </c>
      <c r="C49" s="41">
        <v>10825</v>
      </c>
      <c r="D49" s="41">
        <v>1655</v>
      </c>
      <c r="E49" s="41">
        <v>362</v>
      </c>
      <c r="F49" s="41">
        <v>2222</v>
      </c>
      <c r="G49" s="41">
        <v>329</v>
      </c>
    </row>
    <row r="50" spans="1:7" ht="11.25">
      <c r="A50" s="43" t="str">
        <f>_xlfn.COMPOUNDVALUE(39)</f>
        <v>Agriculteurs exploitants</v>
      </c>
      <c r="B50" s="20">
        <v>1465</v>
      </c>
      <c r="C50" s="20">
        <v>1020</v>
      </c>
      <c r="D50" s="20">
        <v>173</v>
      </c>
      <c r="E50" s="20">
        <v>36</v>
      </c>
      <c r="F50" s="20">
        <v>229</v>
      </c>
      <c r="G50" s="20">
        <v>7</v>
      </c>
    </row>
    <row r="51" spans="1:7" ht="11.25">
      <c r="A51" s="43" t="str">
        <f>_xlfn.COMPOUNDVALUE(40)</f>
        <v>Artisans, commerçants et chefs d'entreprise</v>
      </c>
      <c r="B51" s="20">
        <v>421</v>
      </c>
      <c r="C51" s="20">
        <v>308</v>
      </c>
      <c r="D51" s="20">
        <v>50</v>
      </c>
      <c r="E51" s="20">
        <v>2</v>
      </c>
      <c r="F51" s="20">
        <v>49</v>
      </c>
      <c r="G51" s="20">
        <v>12</v>
      </c>
    </row>
    <row r="52" spans="1:7" ht="11.25">
      <c r="A52" s="43" t="str">
        <f>_xlfn.COMPOUNDVALUE(41)</f>
        <v>Cadres et professions intellectuelles supérieures</v>
      </c>
      <c r="B52" s="20">
        <v>125</v>
      </c>
      <c r="C52" s="20">
        <v>62</v>
      </c>
      <c r="D52" s="20">
        <v>10</v>
      </c>
      <c r="E52" s="20">
        <v>4</v>
      </c>
      <c r="F52" s="20">
        <v>30</v>
      </c>
      <c r="G52" s="20">
        <v>19</v>
      </c>
    </row>
    <row r="53" spans="1:7" ht="11.25">
      <c r="A53" s="43" t="str">
        <f>_xlfn.COMPOUNDVALUE(42)</f>
        <v>Professions intermédiaires</v>
      </c>
      <c r="B53" s="20">
        <v>547</v>
      </c>
      <c r="C53" s="20">
        <v>257</v>
      </c>
      <c r="D53" s="20">
        <v>55</v>
      </c>
      <c r="E53" s="20">
        <v>13</v>
      </c>
      <c r="F53" s="20">
        <v>137</v>
      </c>
      <c r="G53" s="20">
        <v>85</v>
      </c>
    </row>
    <row r="54" spans="1:7" ht="11.25">
      <c r="A54" s="43" t="str">
        <f>_xlfn.COMPOUNDVALUE(43)</f>
        <v>Employés</v>
      </c>
      <c r="B54" s="20">
        <v>1139</v>
      </c>
      <c r="C54" s="20">
        <v>794</v>
      </c>
      <c r="D54" s="20">
        <v>133</v>
      </c>
      <c r="E54" s="20">
        <v>14</v>
      </c>
      <c r="F54" s="20">
        <v>161</v>
      </c>
      <c r="G54" s="20">
        <v>37</v>
      </c>
    </row>
    <row r="55" spans="1:7" ht="11.25">
      <c r="A55" s="43" t="str">
        <f>_xlfn.COMPOUNDVALUE(44)</f>
        <v>Ouvriers</v>
      </c>
      <c r="B55" s="20">
        <v>1992</v>
      </c>
      <c r="C55" s="20">
        <v>1284</v>
      </c>
      <c r="D55" s="20">
        <v>267</v>
      </c>
      <c r="E55" s="20">
        <v>78</v>
      </c>
      <c r="F55" s="20">
        <v>312</v>
      </c>
      <c r="G55" s="20">
        <v>51</v>
      </c>
    </row>
    <row r="56" spans="1:7" ht="11.25">
      <c r="A56" s="43" t="str">
        <f>_xlfn.COMPOUNDVALUE(45)</f>
        <v>Retraités</v>
      </c>
      <c r="B56" s="20">
        <v>1277</v>
      </c>
      <c r="C56" s="20">
        <v>1018</v>
      </c>
      <c r="D56" s="20">
        <v>78</v>
      </c>
      <c r="E56" s="20">
        <v>16</v>
      </c>
      <c r="F56" s="20">
        <v>158</v>
      </c>
      <c r="G56" s="20">
        <v>7</v>
      </c>
    </row>
    <row r="57" spans="1:7" ht="11.25">
      <c r="A57" s="70" t="str">
        <f>_xlfn.COMPOUNDVALUE(46)</f>
        <v>Autres personnes sans activité professionnelle</v>
      </c>
      <c r="B57" s="62">
        <v>8427</v>
      </c>
      <c r="C57" s="62">
        <v>6082</v>
      </c>
      <c r="D57" s="62">
        <v>889</v>
      </c>
      <c r="E57" s="62">
        <v>199</v>
      </c>
      <c r="F57" s="62">
        <v>1146</v>
      </c>
      <c r="G57" s="62">
        <v>111</v>
      </c>
    </row>
    <row r="58" spans="1:6" ht="11.25">
      <c r="A58" s="28"/>
      <c r="B58" s="28"/>
      <c r="C58" s="28"/>
      <c r="D58" s="28"/>
      <c r="E58" s="28"/>
      <c r="F58" s="28"/>
    </row>
    <row r="59" spans="1:8" ht="11.25">
      <c r="A59" s="17" t="s">
        <v>127</v>
      </c>
      <c r="B59" s="49"/>
      <c r="H59" s="29" t="s">
        <v>37</v>
      </c>
    </row>
  </sheetData>
  <sheetProtection/>
  <mergeCells count="2">
    <mergeCell ref="A1:G1"/>
    <mergeCell ref="C2:G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headerFooter>
    <oddFooter>&amp;LMigrations  &amp;P /&amp;N&amp;R&amp;G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PageLayoutView="0" workbookViewId="0" topLeftCell="A1">
      <selection activeCell="A4" sqref="A4:G63"/>
    </sheetView>
  </sheetViews>
  <sheetFormatPr defaultColWidth="12" defaultRowHeight="11.25"/>
  <cols>
    <col min="1" max="1" width="16.16015625" style="20" customWidth="1"/>
    <col min="2" max="2" width="10" style="20" customWidth="1"/>
    <col min="3" max="3" width="9.33203125" style="20" customWidth="1"/>
    <col min="4" max="4" width="10" style="20" customWidth="1"/>
    <col min="5" max="5" width="10.83203125" style="20" customWidth="1"/>
    <col min="6" max="6" width="8.83203125" style="20" customWidth="1"/>
    <col min="7" max="7" width="11.16015625" style="20" customWidth="1"/>
    <col min="8" max="16384" width="12" style="20" customWidth="1"/>
  </cols>
  <sheetData>
    <row r="1" spans="1:7" ht="33" customHeight="1">
      <c r="A1" s="85" t="s">
        <v>134</v>
      </c>
      <c r="B1" s="87"/>
      <c r="C1" s="87"/>
      <c r="D1" s="87"/>
      <c r="E1" s="87"/>
      <c r="F1" s="87"/>
      <c r="G1" s="87"/>
    </row>
    <row r="2" spans="3:7" ht="14.25" customHeight="1">
      <c r="C2" s="88" t="s">
        <v>135</v>
      </c>
      <c r="D2" s="88"/>
      <c r="E2" s="88"/>
      <c r="F2" s="88"/>
      <c r="G2" s="88"/>
    </row>
    <row r="3" spans="1:13" ht="22.5">
      <c r="A3" s="59" t="s">
        <v>101</v>
      </c>
      <c r="B3" s="59" t="str">
        <f>_xlfn.COMPOUNDVALUE(77)</f>
        <v>Ensemble</v>
      </c>
      <c r="C3" s="38" t="str">
        <f>_xlfn.COMPOUNDVALUE(78)</f>
        <v>Iles Du vent</v>
      </c>
      <c r="D3" s="38" t="str">
        <f>_xlfn.COMPOUNDVALUE(79)</f>
        <v>Iles Sous-Le-Vent</v>
      </c>
      <c r="E3" s="38" t="str">
        <f>_xlfn.COMPOUNDVALUE(80)</f>
        <v>Marquises</v>
      </c>
      <c r="F3" s="38" t="str">
        <f>_xlfn.COMPOUNDVALUE(81)</f>
        <v>Australes</v>
      </c>
      <c r="G3" s="38" t="str">
        <f>_xlfn.COMPOUNDVALUE(82)</f>
        <v>Tuamotu-Gambier</v>
      </c>
      <c r="J3"/>
      <c r="K3"/>
      <c r="L3"/>
      <c r="M3"/>
    </row>
    <row r="4" spans="1:13" ht="11.25">
      <c r="A4" s="63" t="str">
        <f>_xlfn.COMPOUNDVALUE(83)</f>
        <v>Total général</v>
      </c>
      <c r="B4" s="41">
        <v>35365</v>
      </c>
      <c r="C4" s="41">
        <v>28036</v>
      </c>
      <c r="D4" s="41">
        <v>3227</v>
      </c>
      <c r="E4" s="41">
        <v>970</v>
      </c>
      <c r="F4" s="41">
        <v>781</v>
      </c>
      <c r="G4" s="41">
        <v>2351</v>
      </c>
      <c r="J4"/>
      <c r="K4"/>
      <c r="L4"/>
      <c r="M4"/>
    </row>
    <row r="5" spans="1:13" ht="11.25">
      <c r="A5" s="28" t="str">
        <f>_xlfn.COMPOUNDVALUE(30)</f>
        <v>Moins de 10 ans</v>
      </c>
      <c r="B5" s="20">
        <v>2868</v>
      </c>
      <c r="C5" s="20">
        <v>2350</v>
      </c>
      <c r="D5" s="20">
        <v>225</v>
      </c>
      <c r="E5" s="20">
        <v>58</v>
      </c>
      <c r="F5" s="20">
        <v>45</v>
      </c>
      <c r="G5" s="20">
        <v>190</v>
      </c>
      <c r="J5"/>
      <c r="K5"/>
      <c r="L5"/>
      <c r="M5"/>
    </row>
    <row r="6" spans="1:13" ht="11.25">
      <c r="A6" s="28" t="str">
        <f>_xlfn.COMPOUNDVALUE(31)</f>
        <v>10-19 ans</v>
      </c>
      <c r="B6" s="20">
        <v>6250</v>
      </c>
      <c r="C6" s="20">
        <v>4582</v>
      </c>
      <c r="D6" s="20">
        <v>681</v>
      </c>
      <c r="E6" s="20">
        <v>228</v>
      </c>
      <c r="F6" s="20">
        <v>208</v>
      </c>
      <c r="G6" s="20">
        <v>551</v>
      </c>
      <c r="J6"/>
      <c r="K6"/>
      <c r="L6"/>
      <c r="M6"/>
    </row>
    <row r="7" spans="1:13" ht="11.25">
      <c r="A7" s="28" t="str">
        <f>_xlfn.COMPOUNDVALUE(32)</f>
        <v>20-29 ans</v>
      </c>
      <c r="B7" s="20">
        <v>9677</v>
      </c>
      <c r="C7" s="20">
        <v>7410</v>
      </c>
      <c r="D7" s="20">
        <v>1057</v>
      </c>
      <c r="E7" s="20">
        <v>354</v>
      </c>
      <c r="F7" s="20">
        <v>236</v>
      </c>
      <c r="G7" s="20">
        <v>620</v>
      </c>
      <c r="J7"/>
      <c r="K7"/>
      <c r="L7"/>
      <c r="M7"/>
    </row>
    <row r="8" spans="1:13" ht="11.25">
      <c r="A8" s="28" t="str">
        <f>_xlfn.COMPOUNDVALUE(33)</f>
        <v>30-39 ans</v>
      </c>
      <c r="B8" s="20">
        <v>7217</v>
      </c>
      <c r="C8" s="20">
        <v>6013</v>
      </c>
      <c r="D8" s="20">
        <v>512</v>
      </c>
      <c r="E8" s="20">
        <v>133</v>
      </c>
      <c r="F8" s="20">
        <v>116</v>
      </c>
      <c r="G8" s="20">
        <v>443</v>
      </c>
      <c r="J8"/>
      <c r="K8"/>
      <c r="L8"/>
      <c r="M8"/>
    </row>
    <row r="9" spans="1:13" ht="11.25">
      <c r="A9" s="28" t="str">
        <f>_xlfn.COMPOUNDVALUE(34)</f>
        <v>40-49 ans</v>
      </c>
      <c r="B9" s="20">
        <v>4801</v>
      </c>
      <c r="C9" s="20">
        <v>3962</v>
      </c>
      <c r="D9" s="20">
        <v>377</v>
      </c>
      <c r="E9" s="20">
        <v>79</v>
      </c>
      <c r="F9" s="20">
        <v>86</v>
      </c>
      <c r="G9" s="20">
        <v>297</v>
      </c>
      <c r="J9"/>
      <c r="K9"/>
      <c r="L9"/>
      <c r="M9"/>
    </row>
    <row r="10" spans="1:13" ht="11.25">
      <c r="A10" s="28" t="str">
        <f>_xlfn.COMPOUNDVALUE(35)</f>
        <v>50-59 ans</v>
      </c>
      <c r="B10" s="20">
        <v>2600</v>
      </c>
      <c r="C10" s="20">
        <v>2175</v>
      </c>
      <c r="D10" s="20">
        <v>196</v>
      </c>
      <c r="E10" s="20">
        <v>70</v>
      </c>
      <c r="F10" s="20">
        <v>39</v>
      </c>
      <c r="G10" s="20">
        <v>120</v>
      </c>
      <c r="J10"/>
      <c r="K10"/>
      <c r="L10"/>
      <c r="M10"/>
    </row>
    <row r="11" spans="1:13" ht="11.25">
      <c r="A11" s="28" t="str">
        <f>_xlfn.COMPOUNDVALUE(36)</f>
        <v>60-69 ans</v>
      </c>
      <c r="B11" s="20">
        <v>1245</v>
      </c>
      <c r="C11" s="20">
        <v>1005</v>
      </c>
      <c r="D11" s="20">
        <v>111</v>
      </c>
      <c r="E11" s="20">
        <v>28</v>
      </c>
      <c r="F11" s="20">
        <v>27</v>
      </c>
      <c r="G11" s="20">
        <v>74</v>
      </c>
      <c r="J11"/>
      <c r="K11"/>
      <c r="L11"/>
      <c r="M11"/>
    </row>
    <row r="12" spans="1:13" ht="11.25">
      <c r="A12" s="28" t="str">
        <f>_xlfn.COMPOUNDVALUE(37)</f>
        <v>70-79 ans</v>
      </c>
      <c r="B12" s="20">
        <v>521</v>
      </c>
      <c r="C12" s="20">
        <v>392</v>
      </c>
      <c r="D12" s="20">
        <v>48</v>
      </c>
      <c r="E12" s="20">
        <v>16</v>
      </c>
      <c r="F12" s="20">
        <v>19</v>
      </c>
      <c r="G12" s="20">
        <v>46</v>
      </c>
      <c r="J12"/>
      <c r="K12"/>
      <c r="L12"/>
      <c r="M12"/>
    </row>
    <row r="13" spans="1:13" ht="11.25">
      <c r="A13" s="28" t="str">
        <f>_xlfn.COMPOUNDVALUE(47)</f>
        <v>80 ans et plus</v>
      </c>
      <c r="B13" s="20">
        <v>186</v>
      </c>
      <c r="C13" s="20">
        <v>147</v>
      </c>
      <c r="D13" s="20">
        <v>20</v>
      </c>
      <c r="E13" s="20">
        <v>4</v>
      </c>
      <c r="F13" s="20">
        <v>5</v>
      </c>
      <c r="G13" s="20">
        <v>10</v>
      </c>
      <c r="J13"/>
      <c r="K13"/>
      <c r="L13"/>
      <c r="M13"/>
    </row>
    <row r="14" spans="1:13" ht="11.25">
      <c r="A14" s="63" t="str">
        <f>_xlfn.COMPOUNDVALUE(84)</f>
        <v>Iles Du Vent</v>
      </c>
      <c r="B14" s="41">
        <v>27565</v>
      </c>
      <c r="C14" s="41">
        <v>22552</v>
      </c>
      <c r="D14" s="41">
        <v>2014</v>
      </c>
      <c r="E14" s="41">
        <v>644</v>
      </c>
      <c r="F14" s="41">
        <v>623</v>
      </c>
      <c r="G14" s="41">
        <v>1732</v>
      </c>
      <c r="J14"/>
      <c r="K14"/>
      <c r="L14"/>
      <c r="M14"/>
    </row>
    <row r="15" spans="1:13" ht="11.25">
      <c r="A15" s="28" t="str">
        <f>_xlfn.COMPOUNDVALUE(85)</f>
        <v>Moins de 10 ans</v>
      </c>
      <c r="B15" s="20">
        <v>2202</v>
      </c>
      <c r="C15" s="20">
        <v>1875</v>
      </c>
      <c r="D15" s="20">
        <v>133</v>
      </c>
      <c r="E15" s="20">
        <v>37</v>
      </c>
      <c r="F15" s="20">
        <v>29</v>
      </c>
      <c r="G15" s="20">
        <v>128</v>
      </c>
      <c r="J15"/>
      <c r="K15"/>
      <c r="L15"/>
      <c r="M15"/>
    </row>
    <row r="16" spans="1:13" ht="11.25">
      <c r="A16" s="28" t="str">
        <f>_xlfn.COMPOUNDVALUE(86)</f>
        <v>10-19 ans</v>
      </c>
      <c r="B16" s="20">
        <v>5050</v>
      </c>
      <c r="C16" s="20">
        <v>3813</v>
      </c>
      <c r="D16" s="20">
        <v>447</v>
      </c>
      <c r="E16" s="20">
        <v>168</v>
      </c>
      <c r="F16" s="20">
        <v>177</v>
      </c>
      <c r="G16" s="20">
        <v>445</v>
      </c>
      <c r="J16"/>
      <c r="K16"/>
      <c r="L16"/>
      <c r="M16"/>
    </row>
    <row r="17" spans="1:13" ht="11.25">
      <c r="A17" s="28" t="str">
        <f>_xlfn.COMPOUNDVALUE(87)</f>
        <v>20-29 ans</v>
      </c>
      <c r="B17" s="20">
        <v>7125</v>
      </c>
      <c r="C17" s="20">
        <v>5584</v>
      </c>
      <c r="D17" s="20">
        <v>689</v>
      </c>
      <c r="E17" s="20">
        <v>228</v>
      </c>
      <c r="F17" s="20">
        <v>184</v>
      </c>
      <c r="G17" s="20">
        <v>440</v>
      </c>
      <c r="J17"/>
      <c r="K17"/>
      <c r="L17"/>
      <c r="M17"/>
    </row>
    <row r="18" spans="1:13" ht="11.25">
      <c r="A18" s="28" t="str">
        <f>_xlfn.COMPOUNDVALUE(88)</f>
        <v>30-39 ans</v>
      </c>
      <c r="B18" s="20">
        <v>5879</v>
      </c>
      <c r="C18" s="20">
        <v>5080</v>
      </c>
      <c r="D18" s="20">
        <v>299</v>
      </c>
      <c r="E18" s="20">
        <v>79</v>
      </c>
      <c r="F18" s="20">
        <v>98</v>
      </c>
      <c r="G18" s="20">
        <v>323</v>
      </c>
      <c r="J18"/>
      <c r="K18"/>
      <c r="L18"/>
      <c r="M18"/>
    </row>
    <row r="19" spans="1:13" ht="11.25">
      <c r="A19" s="28" t="str">
        <f>_xlfn.COMPOUNDVALUE(89)</f>
        <v>40-49 ans</v>
      </c>
      <c r="B19" s="20">
        <v>3873</v>
      </c>
      <c r="C19" s="20">
        <v>3326</v>
      </c>
      <c r="D19" s="20">
        <v>229</v>
      </c>
      <c r="E19" s="20">
        <v>52</v>
      </c>
      <c r="F19" s="20">
        <v>60</v>
      </c>
      <c r="G19" s="20">
        <v>206</v>
      </c>
      <c r="J19"/>
      <c r="K19"/>
      <c r="L19"/>
      <c r="M19"/>
    </row>
    <row r="20" spans="1:13" ht="11.25">
      <c r="A20" s="28" t="str">
        <f>_xlfn.COMPOUNDVALUE(90)</f>
        <v>50-59 ans</v>
      </c>
      <c r="B20" s="20">
        <v>1972</v>
      </c>
      <c r="C20" s="20">
        <v>1697</v>
      </c>
      <c r="D20" s="20">
        <v>105</v>
      </c>
      <c r="E20" s="20">
        <v>47</v>
      </c>
      <c r="F20" s="20">
        <v>32</v>
      </c>
      <c r="G20" s="20">
        <v>91</v>
      </c>
      <c r="J20"/>
      <c r="K20"/>
      <c r="L20"/>
      <c r="M20"/>
    </row>
    <row r="21" spans="1:13" ht="11.25">
      <c r="A21" s="28" t="str">
        <f>_xlfn.COMPOUNDVALUE(91)</f>
        <v>60-69 ans</v>
      </c>
      <c r="B21" s="20">
        <v>918</v>
      </c>
      <c r="C21" s="20">
        <v>765</v>
      </c>
      <c r="D21" s="20">
        <v>62</v>
      </c>
      <c r="E21" s="20">
        <v>15</v>
      </c>
      <c r="F21" s="20">
        <v>22</v>
      </c>
      <c r="G21" s="20">
        <v>54</v>
      </c>
      <c r="J21"/>
      <c r="K21"/>
      <c r="L21"/>
      <c r="M21"/>
    </row>
    <row r="22" spans="1:13" ht="11.25">
      <c r="A22" s="28" t="str">
        <f>_xlfn.COMPOUNDVALUE(92)</f>
        <v>70-79 ans</v>
      </c>
      <c r="B22" s="20">
        <v>394</v>
      </c>
      <c r="C22" s="20">
        <v>291</v>
      </c>
      <c r="D22" s="20">
        <v>34</v>
      </c>
      <c r="E22" s="20">
        <v>14</v>
      </c>
      <c r="F22" s="20">
        <v>16</v>
      </c>
      <c r="G22" s="20">
        <v>39</v>
      </c>
      <c r="J22"/>
      <c r="K22"/>
      <c r="L22"/>
      <c r="M22"/>
    </row>
    <row r="23" spans="1:13" ht="11.25">
      <c r="A23" s="28" t="str">
        <f>_xlfn.COMPOUNDVALUE(93)</f>
        <v>80 ans et plus</v>
      </c>
      <c r="B23" s="20">
        <v>152</v>
      </c>
      <c r="C23" s="20">
        <v>121</v>
      </c>
      <c r="D23" s="20">
        <v>16</v>
      </c>
      <c r="E23" s="20">
        <v>4</v>
      </c>
      <c r="F23" s="20">
        <v>5</v>
      </c>
      <c r="G23" s="20">
        <v>6</v>
      </c>
      <c r="J23"/>
      <c r="K23"/>
      <c r="L23"/>
      <c r="M23"/>
    </row>
    <row r="24" spans="1:13" ht="11.25">
      <c r="A24" s="63" t="str">
        <f>_xlfn.COMPOUNDVALUE(94)</f>
        <v>Iles Sous-Le-Vent</v>
      </c>
      <c r="B24" s="41">
        <v>3253</v>
      </c>
      <c r="C24" s="41">
        <v>2033</v>
      </c>
      <c r="D24" s="41">
        <v>970</v>
      </c>
      <c r="E24" s="41">
        <v>60</v>
      </c>
      <c r="F24" s="41">
        <v>48</v>
      </c>
      <c r="G24" s="41">
        <v>142</v>
      </c>
      <c r="J24"/>
      <c r="K24"/>
      <c r="L24"/>
      <c r="M24"/>
    </row>
    <row r="25" spans="1:13" ht="11.25">
      <c r="A25" s="28" t="str">
        <f>_xlfn.COMPOUNDVALUE(95)</f>
        <v>Moins de 10 ans</v>
      </c>
      <c r="B25" s="20">
        <v>271</v>
      </c>
      <c r="C25" s="20">
        <v>169</v>
      </c>
      <c r="D25" s="20">
        <v>73</v>
      </c>
      <c r="E25" s="20">
        <v>7</v>
      </c>
      <c r="F25" s="20">
        <v>5</v>
      </c>
      <c r="G25" s="20">
        <v>17</v>
      </c>
      <c r="J25"/>
      <c r="K25"/>
      <c r="L25"/>
      <c r="M25"/>
    </row>
    <row r="26" spans="1:13" ht="11.25">
      <c r="A26" s="28" t="str">
        <f>_xlfn.COMPOUNDVALUE(96)</f>
        <v>10-19 ans</v>
      </c>
      <c r="B26" s="20">
        <v>536</v>
      </c>
      <c r="C26" s="20">
        <v>285</v>
      </c>
      <c r="D26" s="20">
        <v>198</v>
      </c>
      <c r="E26" s="20">
        <v>12</v>
      </c>
      <c r="F26" s="20">
        <v>9</v>
      </c>
      <c r="G26" s="20">
        <v>32</v>
      </c>
      <c r="J26"/>
      <c r="K26"/>
      <c r="L26"/>
      <c r="M26"/>
    </row>
    <row r="27" spans="1:13" ht="11.25">
      <c r="A27" s="28" t="str">
        <f>_xlfn.COMPOUNDVALUE(97)</f>
        <v>20-29 ans</v>
      </c>
      <c r="B27" s="20">
        <v>938</v>
      </c>
      <c r="C27" s="20">
        <v>590</v>
      </c>
      <c r="D27" s="20">
        <v>295</v>
      </c>
      <c r="E27" s="20">
        <v>12</v>
      </c>
      <c r="F27" s="20">
        <v>12</v>
      </c>
      <c r="G27" s="20">
        <v>29</v>
      </c>
      <c r="J27"/>
      <c r="K27"/>
      <c r="L27"/>
      <c r="M27"/>
    </row>
    <row r="28" spans="1:13" ht="11.25">
      <c r="A28" s="28" t="str">
        <f>_xlfn.COMPOUNDVALUE(98)</f>
        <v>30-39 ans</v>
      </c>
      <c r="B28" s="20">
        <v>558</v>
      </c>
      <c r="C28" s="20">
        <v>357</v>
      </c>
      <c r="D28" s="20">
        <v>167</v>
      </c>
      <c r="E28" s="20">
        <v>5</v>
      </c>
      <c r="F28" s="20">
        <v>4</v>
      </c>
      <c r="G28" s="20">
        <v>25</v>
      </c>
      <c r="J28"/>
      <c r="K28"/>
      <c r="L28"/>
      <c r="M28"/>
    </row>
    <row r="29" spans="1:13" ht="11.25">
      <c r="A29" s="28" t="str">
        <f>_xlfn.COMPOUNDVALUE(99)</f>
        <v>40-49 ans</v>
      </c>
      <c r="B29" s="20">
        <v>401</v>
      </c>
      <c r="C29" s="20">
        <v>250</v>
      </c>
      <c r="D29" s="20">
        <v>107</v>
      </c>
      <c r="E29" s="20">
        <v>11</v>
      </c>
      <c r="F29" s="20">
        <v>10</v>
      </c>
      <c r="G29" s="20">
        <v>23</v>
      </c>
      <c r="J29"/>
      <c r="K29"/>
      <c r="L29"/>
      <c r="M29"/>
    </row>
    <row r="30" spans="1:13" ht="11.25">
      <c r="A30" s="28" t="str">
        <f>_xlfn.COMPOUNDVALUE(100)</f>
        <v>50-59 ans</v>
      </c>
      <c r="B30" s="20">
        <v>292</v>
      </c>
      <c r="C30" s="20">
        <v>201</v>
      </c>
      <c r="D30" s="20">
        <v>75</v>
      </c>
      <c r="E30" s="20">
        <v>8</v>
      </c>
      <c r="F30" s="20">
        <v>0</v>
      </c>
      <c r="G30" s="20">
        <v>8</v>
      </c>
      <c r="J30"/>
      <c r="K30"/>
      <c r="L30"/>
      <c r="M30"/>
    </row>
    <row r="31" spans="1:13" ht="11.25">
      <c r="A31" s="28" t="str">
        <f>_xlfn.COMPOUNDVALUE(101)</f>
        <v>60-69 ans</v>
      </c>
      <c r="B31" s="20">
        <v>166</v>
      </c>
      <c r="C31" s="20">
        <v>115</v>
      </c>
      <c r="D31" s="20">
        <v>38</v>
      </c>
      <c r="E31" s="20">
        <v>4</v>
      </c>
      <c r="F31" s="20">
        <v>5</v>
      </c>
      <c r="G31" s="20">
        <v>4</v>
      </c>
      <c r="J31"/>
      <c r="K31"/>
      <c r="L31"/>
      <c r="M31"/>
    </row>
    <row r="32" spans="1:13" ht="11.25">
      <c r="A32" s="28" t="str">
        <f>_xlfn.COMPOUNDVALUE(102)</f>
        <v>70-79 ans</v>
      </c>
      <c r="B32" s="20">
        <v>68</v>
      </c>
      <c r="C32" s="20">
        <v>49</v>
      </c>
      <c r="D32" s="20">
        <v>14</v>
      </c>
      <c r="E32" s="20">
        <v>1</v>
      </c>
      <c r="F32" s="20">
        <v>3</v>
      </c>
      <c r="G32" s="20">
        <v>1</v>
      </c>
      <c r="J32"/>
      <c r="K32"/>
      <c r="L32"/>
      <c r="M32"/>
    </row>
    <row r="33" spans="1:13" ht="11.25">
      <c r="A33" s="28" t="str">
        <f>_xlfn.COMPOUNDVALUE(103)</f>
        <v>80 ans et plus</v>
      </c>
      <c r="B33" s="20">
        <v>23</v>
      </c>
      <c r="C33" s="20">
        <v>17</v>
      </c>
      <c r="D33" s="20">
        <v>3</v>
      </c>
      <c r="E33" s="20">
        <v>0</v>
      </c>
      <c r="F33" s="20">
        <v>0</v>
      </c>
      <c r="G33" s="20">
        <v>3</v>
      </c>
      <c r="J33"/>
      <c r="K33"/>
      <c r="L33"/>
      <c r="M33"/>
    </row>
    <row r="34" spans="1:13" ht="11.25">
      <c r="A34" s="63" t="str">
        <f>_xlfn.COMPOUNDVALUE(104)</f>
        <v>Marquises</v>
      </c>
      <c r="B34" s="41">
        <v>1028</v>
      </c>
      <c r="C34" s="41">
        <v>686</v>
      </c>
      <c r="D34" s="41">
        <v>61</v>
      </c>
      <c r="E34" s="41">
        <v>209</v>
      </c>
      <c r="F34" s="41">
        <v>12</v>
      </c>
      <c r="G34" s="41">
        <v>60</v>
      </c>
      <c r="J34"/>
      <c r="K34"/>
      <c r="L34"/>
      <c r="M34"/>
    </row>
    <row r="35" spans="1:13" ht="11.25">
      <c r="A35" s="28" t="str">
        <f>_xlfn.COMPOUNDVALUE(105)</f>
        <v>Moins de 10 ans</v>
      </c>
      <c r="B35" s="20">
        <v>81</v>
      </c>
      <c r="C35" s="20">
        <v>57</v>
      </c>
      <c r="D35" s="20">
        <v>5</v>
      </c>
      <c r="E35" s="20">
        <v>11</v>
      </c>
      <c r="F35" s="20">
        <v>1</v>
      </c>
      <c r="G35" s="20">
        <v>7</v>
      </c>
      <c r="J35"/>
      <c r="K35"/>
      <c r="L35"/>
      <c r="M35"/>
    </row>
    <row r="36" spans="1:13" ht="11.25">
      <c r="A36" s="28" t="str">
        <f>_xlfn.COMPOUNDVALUE(106)</f>
        <v>10-19 ans</v>
      </c>
      <c r="B36" s="20">
        <v>137</v>
      </c>
      <c r="C36" s="20">
        <v>76</v>
      </c>
      <c r="D36" s="20">
        <v>8</v>
      </c>
      <c r="E36" s="20">
        <v>40</v>
      </c>
      <c r="F36" s="20">
        <v>2</v>
      </c>
      <c r="G36" s="20">
        <v>11</v>
      </c>
      <c r="J36"/>
      <c r="K36"/>
      <c r="L36"/>
      <c r="M36"/>
    </row>
    <row r="37" spans="1:13" ht="11.25">
      <c r="A37" s="28" t="str">
        <f>_xlfn.COMPOUNDVALUE(107)</f>
        <v>20-29 ans</v>
      </c>
      <c r="B37" s="20">
        <v>406</v>
      </c>
      <c r="C37" s="20">
        <v>277</v>
      </c>
      <c r="D37" s="20">
        <v>19</v>
      </c>
      <c r="E37" s="20">
        <v>94</v>
      </c>
      <c r="F37" s="20">
        <v>4</v>
      </c>
      <c r="G37" s="20">
        <v>12</v>
      </c>
      <c r="J37"/>
      <c r="K37"/>
      <c r="L37"/>
      <c r="M37"/>
    </row>
    <row r="38" spans="1:13" ht="11.25">
      <c r="A38" s="28" t="str">
        <f>_xlfn.COMPOUNDVALUE(108)</f>
        <v>30-39 ans</v>
      </c>
      <c r="B38" s="20">
        <v>179</v>
      </c>
      <c r="C38" s="20">
        <v>115</v>
      </c>
      <c r="D38" s="20">
        <v>13</v>
      </c>
      <c r="E38" s="20">
        <v>33</v>
      </c>
      <c r="F38" s="20">
        <v>1</v>
      </c>
      <c r="G38" s="20">
        <v>17</v>
      </c>
      <c r="J38"/>
      <c r="K38"/>
      <c r="L38"/>
      <c r="M38"/>
    </row>
    <row r="39" spans="1:13" ht="11.25">
      <c r="A39" s="28" t="str">
        <f>_xlfn.COMPOUNDVALUE(109)</f>
        <v>40-49 ans</v>
      </c>
      <c r="B39" s="20">
        <v>111</v>
      </c>
      <c r="C39" s="20">
        <v>78</v>
      </c>
      <c r="D39" s="20">
        <v>10</v>
      </c>
      <c r="E39" s="20">
        <v>10</v>
      </c>
      <c r="F39" s="20">
        <v>2</v>
      </c>
      <c r="G39" s="20">
        <v>11</v>
      </c>
      <c r="J39"/>
      <c r="K39"/>
      <c r="L39"/>
      <c r="M39"/>
    </row>
    <row r="40" spans="1:13" ht="11.25">
      <c r="A40" s="28" t="str">
        <f>_xlfn.COMPOUNDVALUE(110)</f>
        <v>50-59 ans</v>
      </c>
      <c r="B40" s="20">
        <v>71</v>
      </c>
      <c r="C40" s="20">
        <v>53</v>
      </c>
      <c r="D40" s="20">
        <v>4</v>
      </c>
      <c r="E40" s="20">
        <v>12</v>
      </c>
      <c r="F40" s="20">
        <v>2</v>
      </c>
      <c r="G40" s="20">
        <v>0</v>
      </c>
      <c r="J40"/>
      <c r="K40"/>
      <c r="L40"/>
      <c r="M40"/>
    </row>
    <row r="41" spans="1:13" ht="11.25">
      <c r="A41" s="28" t="str">
        <f>_xlfn.COMPOUNDVALUE(111)</f>
        <v>60-69 ans</v>
      </c>
      <c r="B41" s="20">
        <v>30</v>
      </c>
      <c r="C41" s="20">
        <v>19</v>
      </c>
      <c r="D41" s="20">
        <v>1</v>
      </c>
      <c r="E41" s="20">
        <v>8</v>
      </c>
      <c r="F41" s="20">
        <v>0</v>
      </c>
      <c r="G41" s="20">
        <v>2</v>
      </c>
      <c r="J41"/>
      <c r="K41"/>
      <c r="L41"/>
      <c r="M41"/>
    </row>
    <row r="42" spans="1:13" ht="11.25">
      <c r="A42" s="28" t="str">
        <f>_xlfn.COMPOUNDVALUE(112)</f>
        <v>70-79 ans</v>
      </c>
      <c r="B42" s="20">
        <v>8</v>
      </c>
      <c r="C42" s="20">
        <v>7</v>
      </c>
      <c r="D42" s="20">
        <v>0</v>
      </c>
      <c r="E42" s="20">
        <v>1</v>
      </c>
      <c r="F42" s="20">
        <v>0</v>
      </c>
      <c r="G42" s="20">
        <v>0</v>
      </c>
      <c r="J42"/>
      <c r="K42"/>
      <c r="L42"/>
      <c r="M42"/>
    </row>
    <row r="43" spans="1:13" ht="11.25">
      <c r="A43" s="28" t="str">
        <f>_xlfn.COMPOUNDVALUE(113)</f>
        <v>80 ans et plus</v>
      </c>
      <c r="B43" s="20">
        <v>5</v>
      </c>
      <c r="C43" s="20">
        <v>4</v>
      </c>
      <c r="D43" s="20">
        <v>1</v>
      </c>
      <c r="E43" s="20">
        <v>0</v>
      </c>
      <c r="F43" s="20">
        <v>0</v>
      </c>
      <c r="G43" s="20">
        <v>0</v>
      </c>
      <c r="J43"/>
      <c r="K43"/>
      <c r="L43"/>
      <c r="M43"/>
    </row>
    <row r="44" spans="1:13" ht="11.25">
      <c r="A44" s="63" t="str">
        <f>_xlfn.COMPOUNDVALUE(114)</f>
        <v>Australes</v>
      </c>
      <c r="B44" s="41">
        <v>935</v>
      </c>
      <c r="C44" s="41">
        <v>768</v>
      </c>
      <c r="D44" s="41">
        <v>30</v>
      </c>
      <c r="E44" s="41">
        <v>20</v>
      </c>
      <c r="F44" s="41">
        <v>62</v>
      </c>
      <c r="G44" s="41">
        <v>55</v>
      </c>
      <c r="J44"/>
      <c r="K44"/>
      <c r="L44"/>
      <c r="M44"/>
    </row>
    <row r="45" spans="1:13" ht="11.25">
      <c r="A45" s="28" t="str">
        <f>_xlfn.COMPOUNDVALUE(115)</f>
        <v>Moins de 10 ans</v>
      </c>
      <c r="B45" s="20">
        <v>101</v>
      </c>
      <c r="C45" s="20">
        <v>81</v>
      </c>
      <c r="D45" s="20">
        <v>1</v>
      </c>
      <c r="E45" s="20">
        <v>2</v>
      </c>
      <c r="F45" s="20">
        <v>7</v>
      </c>
      <c r="G45" s="20">
        <v>10</v>
      </c>
      <c r="J45"/>
      <c r="K45"/>
      <c r="L45"/>
      <c r="M45"/>
    </row>
    <row r="46" spans="1:13" ht="11.25">
      <c r="A46" s="28" t="str">
        <f>_xlfn.COMPOUNDVALUE(116)</f>
        <v>10-19 ans</v>
      </c>
      <c r="B46" s="20">
        <v>157</v>
      </c>
      <c r="C46" s="20">
        <v>131</v>
      </c>
      <c r="D46" s="20">
        <v>2</v>
      </c>
      <c r="E46" s="20">
        <v>4</v>
      </c>
      <c r="F46" s="20">
        <v>14</v>
      </c>
      <c r="G46" s="20">
        <v>6</v>
      </c>
      <c r="J46"/>
      <c r="K46"/>
      <c r="L46"/>
      <c r="M46"/>
    </row>
    <row r="47" spans="1:13" ht="11.25">
      <c r="A47" s="28" t="str">
        <f>_xlfn.COMPOUNDVALUE(117)</f>
        <v>20-29 ans</v>
      </c>
      <c r="B47" s="20">
        <v>316</v>
      </c>
      <c r="C47" s="20">
        <v>256</v>
      </c>
      <c r="D47" s="20">
        <v>15</v>
      </c>
      <c r="E47" s="20">
        <v>7</v>
      </c>
      <c r="F47" s="20">
        <v>24</v>
      </c>
      <c r="G47" s="20">
        <v>14</v>
      </c>
      <c r="J47"/>
      <c r="K47"/>
      <c r="L47"/>
      <c r="M47"/>
    </row>
    <row r="48" spans="1:13" ht="11.25">
      <c r="A48" s="28" t="str">
        <f>_xlfn.COMPOUNDVALUE(118)</f>
        <v>30-39 ans</v>
      </c>
      <c r="B48" s="20">
        <v>143</v>
      </c>
      <c r="C48" s="20">
        <v>115</v>
      </c>
      <c r="D48" s="20">
        <v>4</v>
      </c>
      <c r="E48" s="20">
        <v>4</v>
      </c>
      <c r="F48" s="20">
        <v>6</v>
      </c>
      <c r="G48" s="20">
        <v>14</v>
      </c>
      <c r="J48"/>
      <c r="K48"/>
      <c r="L48"/>
      <c r="M48"/>
    </row>
    <row r="49" spans="1:13" ht="11.25">
      <c r="A49" s="28" t="str">
        <f>_xlfn.COMPOUNDVALUE(119)</f>
        <v>40-49 ans</v>
      </c>
      <c r="B49" s="20">
        <v>111</v>
      </c>
      <c r="C49" s="20">
        <v>88</v>
      </c>
      <c r="D49" s="20">
        <v>7</v>
      </c>
      <c r="E49" s="20">
        <v>3</v>
      </c>
      <c r="F49" s="20">
        <v>7</v>
      </c>
      <c r="G49" s="20">
        <v>6</v>
      </c>
      <c r="J49"/>
      <c r="K49"/>
      <c r="L49"/>
      <c r="M49"/>
    </row>
    <row r="50" spans="1:13" ht="11.25">
      <c r="A50" s="28" t="str">
        <f>_xlfn.COMPOUNDVALUE(120)</f>
        <v>50-59 ans</v>
      </c>
      <c r="B50" s="20">
        <v>59</v>
      </c>
      <c r="C50" s="20">
        <v>51</v>
      </c>
      <c r="D50" s="20">
        <v>1</v>
      </c>
      <c r="E50" s="20">
        <v>0</v>
      </c>
      <c r="F50" s="20">
        <v>4</v>
      </c>
      <c r="G50" s="20">
        <v>3</v>
      </c>
      <c r="J50"/>
      <c r="K50"/>
      <c r="L50"/>
      <c r="M50"/>
    </row>
    <row r="51" spans="1:13" ht="11.25">
      <c r="A51" s="28" t="str">
        <f>_xlfn.COMPOUNDVALUE(121)</f>
        <v>60-69 ans</v>
      </c>
      <c r="B51" s="20">
        <v>31</v>
      </c>
      <c r="C51" s="20">
        <v>29</v>
      </c>
      <c r="D51" s="20">
        <v>0</v>
      </c>
      <c r="E51" s="20">
        <v>0</v>
      </c>
      <c r="F51" s="20">
        <v>0</v>
      </c>
      <c r="G51" s="20">
        <v>2</v>
      </c>
      <c r="J51"/>
      <c r="K51"/>
      <c r="L51"/>
      <c r="M51"/>
    </row>
    <row r="52" spans="1:13" ht="11.25">
      <c r="A52" s="28" t="str">
        <f>_xlfn.COMPOUNDVALUE(122)</f>
        <v>70-79 ans</v>
      </c>
      <c r="B52" s="20">
        <v>15</v>
      </c>
      <c r="C52" s="20">
        <v>15</v>
      </c>
      <c r="D52" s="20">
        <v>0</v>
      </c>
      <c r="E52" s="20">
        <v>0</v>
      </c>
      <c r="F52" s="20">
        <v>0</v>
      </c>
      <c r="G52" s="20">
        <v>0</v>
      </c>
      <c r="J52"/>
      <c r="K52"/>
      <c r="L52"/>
      <c r="M52"/>
    </row>
    <row r="53" spans="1:13" ht="11.25">
      <c r="A53" s="28" t="str">
        <f>_xlfn.COMPOUNDVALUE(123)</f>
        <v>80 ans et plus</v>
      </c>
      <c r="B53" s="20">
        <v>2</v>
      </c>
      <c r="C53" s="20">
        <v>2</v>
      </c>
      <c r="D53" s="20">
        <v>0</v>
      </c>
      <c r="E53" s="20">
        <v>0</v>
      </c>
      <c r="F53" s="20">
        <v>0</v>
      </c>
      <c r="G53" s="20">
        <v>0</v>
      </c>
      <c r="J53"/>
      <c r="K53"/>
      <c r="L53"/>
      <c r="M53"/>
    </row>
    <row r="54" spans="1:13" ht="11.25">
      <c r="A54" s="63" t="str">
        <f>_xlfn.COMPOUNDVALUE(124)</f>
        <v>Tuamotu-Gambier</v>
      </c>
      <c r="B54" s="41">
        <v>2584</v>
      </c>
      <c r="C54" s="41">
        <v>1997</v>
      </c>
      <c r="D54" s="41">
        <v>152</v>
      </c>
      <c r="E54" s="41">
        <v>37</v>
      </c>
      <c r="F54" s="41">
        <v>36</v>
      </c>
      <c r="G54" s="41">
        <v>362</v>
      </c>
      <c r="J54"/>
      <c r="K54"/>
      <c r="L54"/>
      <c r="M54"/>
    </row>
    <row r="55" spans="1:13" ht="11.25">
      <c r="A55" s="28" t="str">
        <f>_xlfn.COMPOUNDVALUE(125)</f>
        <v>Moins de 10 ans</v>
      </c>
      <c r="B55" s="20">
        <v>213</v>
      </c>
      <c r="C55" s="20">
        <v>168</v>
      </c>
      <c r="D55" s="20">
        <v>13</v>
      </c>
      <c r="E55" s="20">
        <v>1</v>
      </c>
      <c r="F55" s="20">
        <v>3</v>
      </c>
      <c r="G55" s="20">
        <v>28</v>
      </c>
      <c r="J55"/>
      <c r="K55"/>
      <c r="L55"/>
      <c r="M55"/>
    </row>
    <row r="56" spans="1:7" ht="11.25">
      <c r="A56" s="28" t="str">
        <f>_xlfn.COMPOUNDVALUE(126)</f>
        <v>10-19 ans</v>
      </c>
      <c r="B56" s="20">
        <v>370</v>
      </c>
      <c r="C56" s="20">
        <v>277</v>
      </c>
      <c r="D56" s="20">
        <v>26</v>
      </c>
      <c r="E56" s="20">
        <v>4</v>
      </c>
      <c r="F56" s="20">
        <v>6</v>
      </c>
      <c r="G56" s="20">
        <v>57</v>
      </c>
    </row>
    <row r="57" spans="1:7" ht="11.25">
      <c r="A57" s="28" t="str">
        <f>_xlfn.COMPOUNDVALUE(127)</f>
        <v>20-29 ans</v>
      </c>
      <c r="B57" s="20">
        <v>892</v>
      </c>
      <c r="C57" s="20">
        <v>703</v>
      </c>
      <c r="D57" s="20">
        <v>39</v>
      </c>
      <c r="E57" s="20">
        <v>13</v>
      </c>
      <c r="F57" s="20">
        <v>12</v>
      </c>
      <c r="G57" s="20">
        <v>125</v>
      </c>
    </row>
    <row r="58" spans="1:7" ht="11.25">
      <c r="A58" s="28" t="str">
        <f>_xlfn.COMPOUNDVALUE(128)</f>
        <v>30-39 ans</v>
      </c>
      <c r="B58" s="20">
        <v>458</v>
      </c>
      <c r="C58" s="20">
        <v>346</v>
      </c>
      <c r="D58" s="20">
        <v>29</v>
      </c>
      <c r="E58" s="20">
        <v>12</v>
      </c>
      <c r="F58" s="20">
        <v>7</v>
      </c>
      <c r="G58" s="20">
        <v>64</v>
      </c>
    </row>
    <row r="59" spans="1:7" ht="11.25">
      <c r="A59" s="28" t="str">
        <f>_xlfn.COMPOUNDVALUE(129)</f>
        <v>40-49 ans</v>
      </c>
      <c r="B59" s="20">
        <v>305</v>
      </c>
      <c r="C59" s="20">
        <v>220</v>
      </c>
      <c r="D59" s="20">
        <v>24</v>
      </c>
      <c r="E59" s="20">
        <v>3</v>
      </c>
      <c r="F59" s="20">
        <v>7</v>
      </c>
      <c r="G59" s="20">
        <v>51</v>
      </c>
    </row>
    <row r="60" spans="1:7" ht="11.25">
      <c r="A60" s="28" t="str">
        <f>_xlfn.COMPOUNDVALUE(130)</f>
        <v>50-59 ans</v>
      </c>
      <c r="B60" s="20">
        <v>206</v>
      </c>
      <c r="C60" s="20">
        <v>173</v>
      </c>
      <c r="D60" s="20">
        <v>11</v>
      </c>
      <c r="E60" s="20">
        <v>3</v>
      </c>
      <c r="F60" s="20">
        <v>1</v>
      </c>
      <c r="G60" s="20">
        <v>18</v>
      </c>
    </row>
    <row r="61" spans="1:7" ht="11.25">
      <c r="A61" s="28" t="str">
        <f>_xlfn.COMPOUNDVALUE(131)</f>
        <v>60-69 ans</v>
      </c>
      <c r="B61" s="20">
        <v>100</v>
      </c>
      <c r="C61" s="20">
        <v>77</v>
      </c>
      <c r="D61" s="20">
        <v>10</v>
      </c>
      <c r="E61" s="20">
        <v>1</v>
      </c>
      <c r="F61" s="20">
        <v>0</v>
      </c>
      <c r="G61" s="20">
        <v>12</v>
      </c>
    </row>
    <row r="62" spans="1:7" ht="11.25">
      <c r="A62" s="28" t="str">
        <f>_xlfn.COMPOUNDVALUE(132)</f>
        <v>70-79 ans</v>
      </c>
      <c r="B62" s="20">
        <v>36</v>
      </c>
      <c r="C62" s="20">
        <v>30</v>
      </c>
      <c r="D62" s="20">
        <v>0</v>
      </c>
      <c r="E62" s="20">
        <v>0</v>
      </c>
      <c r="F62" s="20">
        <v>0</v>
      </c>
      <c r="G62" s="20">
        <v>6</v>
      </c>
    </row>
    <row r="63" spans="1:7" ht="11.25">
      <c r="A63" s="71" t="str">
        <f>_xlfn.COMPOUNDVALUE(133)</f>
        <v>80 ans et plus</v>
      </c>
      <c r="B63" s="62">
        <v>4</v>
      </c>
      <c r="C63" s="62">
        <v>3</v>
      </c>
      <c r="D63" s="62">
        <v>0</v>
      </c>
      <c r="E63" s="62">
        <v>0</v>
      </c>
      <c r="F63" s="62">
        <v>0</v>
      </c>
      <c r="G63" s="62">
        <v>1</v>
      </c>
    </row>
    <row r="64" spans="1:2" ht="11.25">
      <c r="A64" s="17" t="s">
        <v>127</v>
      </c>
      <c r="B64" s="49"/>
    </row>
    <row r="65" spans="2:7" ht="11.25">
      <c r="B65" s="49"/>
      <c r="G65" s="29" t="s">
        <v>37</v>
      </c>
    </row>
  </sheetData>
  <sheetProtection/>
  <mergeCells count="2">
    <mergeCell ref="A1:G1"/>
    <mergeCell ref="C2:G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headerFooter>
    <oddFooter>&amp;LMigrations  &amp;P /&amp;N&amp;R&amp;G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3"/>
  <sheetViews>
    <sheetView showGridLines="0" zoomScalePageLayoutView="0" workbookViewId="0" topLeftCell="A1">
      <selection activeCell="G22" sqref="G22"/>
    </sheetView>
  </sheetViews>
  <sheetFormatPr defaultColWidth="12" defaultRowHeight="11.25"/>
  <cols>
    <col min="1" max="1" width="19.5" style="20" customWidth="1"/>
    <col min="2" max="2" width="14.5" style="20" customWidth="1"/>
    <col min="3" max="3" width="8" style="20" customWidth="1"/>
    <col min="4" max="4" width="10" style="20" customWidth="1"/>
    <col min="5" max="5" width="9.83203125" style="20" customWidth="1"/>
    <col min="6" max="6" width="8" style="20" customWidth="1"/>
    <col min="7" max="7" width="10.5" style="20" customWidth="1"/>
    <col min="8" max="9" width="12" style="20" customWidth="1"/>
    <col min="10" max="10" width="11.16015625" style="20" customWidth="1"/>
    <col min="11" max="11" width="24.16015625" style="20" bestFit="1" customWidth="1"/>
    <col min="12" max="12" width="11.16015625" style="20" customWidth="1"/>
    <col min="13" max="16384" width="12" style="20" customWidth="1"/>
  </cols>
  <sheetData>
    <row r="1" spans="1:12" ht="33" customHeight="1">
      <c r="A1" s="85" t="s">
        <v>138</v>
      </c>
      <c r="B1" s="87"/>
      <c r="C1" s="87"/>
      <c r="D1" s="87"/>
      <c r="E1" s="87"/>
      <c r="F1" s="87"/>
      <c r="G1" s="87"/>
      <c r="J1"/>
      <c r="K1"/>
      <c r="L1"/>
    </row>
    <row r="2" spans="3:12" ht="14.25" customHeight="1">
      <c r="C2" s="88" t="s">
        <v>139</v>
      </c>
      <c r="D2" s="88"/>
      <c r="E2" s="88"/>
      <c r="F2" s="88"/>
      <c r="G2" s="88"/>
      <c r="J2"/>
      <c r="K2"/>
      <c r="L2"/>
    </row>
    <row r="3" spans="1:12" ht="22.5">
      <c r="A3" s="58" t="s">
        <v>140</v>
      </c>
      <c r="B3" s="37" t="str">
        <f>_xlfn.COMPOUNDVALUE(134)</f>
        <v>Arrivées dans la subdivision</v>
      </c>
      <c r="C3" s="38" t="str">
        <f>_xlfn.COMPOUNDVALUE(78)</f>
        <v>Iles Du vent</v>
      </c>
      <c r="D3" s="38" t="str">
        <f>_xlfn.COMPOUNDVALUE(79)</f>
        <v>Iles Sous-Le-Vent</v>
      </c>
      <c r="E3" s="38" t="str">
        <f>_xlfn.COMPOUNDVALUE(80)</f>
        <v>Marquises</v>
      </c>
      <c r="F3" s="38" t="str">
        <f>_xlfn.COMPOUNDVALUE(81)</f>
        <v>Australes</v>
      </c>
      <c r="G3" s="38" t="str">
        <f>_xlfn.COMPOUNDVALUE(82)</f>
        <v>Tuamotu-Gambier</v>
      </c>
      <c r="J3"/>
      <c r="K3"/>
      <c r="L3"/>
    </row>
    <row r="4" spans="1:12" ht="11.25">
      <c r="A4" s="24" t="str">
        <f>_xlfn.COMPOUNDVALUE(50)</f>
        <v>Iles Du Vent</v>
      </c>
      <c r="B4" s="72">
        <v>5013</v>
      </c>
      <c r="C4" s="20">
        <v>0</v>
      </c>
      <c r="D4" s="20">
        <v>2014</v>
      </c>
      <c r="E4" s="20">
        <v>644</v>
      </c>
      <c r="F4" s="20">
        <v>623</v>
      </c>
      <c r="G4" s="20">
        <v>1732</v>
      </c>
      <c r="J4"/>
      <c r="K4"/>
      <c r="L4"/>
    </row>
    <row r="5" spans="1:12" ht="11.25">
      <c r="A5" s="24" t="str">
        <f>_xlfn.COMPOUNDVALUE(51)</f>
        <v>Iles Sous-Le-Vent</v>
      </c>
      <c r="B5" s="72">
        <v>2283</v>
      </c>
      <c r="C5" s="20">
        <v>2033</v>
      </c>
      <c r="D5" s="20">
        <v>0</v>
      </c>
      <c r="E5" s="20">
        <v>60</v>
      </c>
      <c r="F5" s="20">
        <v>48</v>
      </c>
      <c r="G5" s="20">
        <v>142</v>
      </c>
      <c r="J5"/>
      <c r="K5"/>
      <c r="L5"/>
    </row>
    <row r="6" spans="1:12" ht="11.25">
      <c r="A6" s="24" t="str">
        <f>_xlfn.COMPOUNDVALUE(52)</f>
        <v>Marquises</v>
      </c>
      <c r="B6" s="72">
        <v>819</v>
      </c>
      <c r="C6" s="20">
        <v>686</v>
      </c>
      <c r="D6" s="20">
        <v>61</v>
      </c>
      <c r="E6" s="20">
        <v>0</v>
      </c>
      <c r="F6" s="20">
        <v>12</v>
      </c>
      <c r="G6" s="20">
        <v>60</v>
      </c>
      <c r="J6"/>
      <c r="K6"/>
      <c r="L6"/>
    </row>
    <row r="7" spans="1:12" ht="11.25">
      <c r="A7" s="24" t="str">
        <f>_xlfn.COMPOUNDVALUE(53)</f>
        <v>Australes</v>
      </c>
      <c r="B7" s="72">
        <v>873</v>
      </c>
      <c r="C7" s="20">
        <v>768</v>
      </c>
      <c r="D7" s="20">
        <v>30</v>
      </c>
      <c r="E7" s="20">
        <v>20</v>
      </c>
      <c r="F7" s="20">
        <v>0</v>
      </c>
      <c r="G7" s="20">
        <v>55</v>
      </c>
      <c r="J7"/>
      <c r="K7"/>
      <c r="L7"/>
    </row>
    <row r="8" spans="1:12" ht="11.25">
      <c r="A8" s="24" t="str">
        <f>_xlfn.COMPOUNDVALUE(54)</f>
        <v>Tuamotu-Gambier</v>
      </c>
      <c r="B8" s="72">
        <v>2222</v>
      </c>
      <c r="C8" s="20">
        <v>1997</v>
      </c>
      <c r="D8" s="20">
        <v>152</v>
      </c>
      <c r="E8" s="20">
        <v>37</v>
      </c>
      <c r="F8" s="20">
        <v>36</v>
      </c>
      <c r="G8" s="20">
        <v>0</v>
      </c>
      <c r="J8"/>
      <c r="K8"/>
      <c r="L8"/>
    </row>
    <row r="9" spans="1:12" ht="11.25">
      <c r="A9" s="22" t="str">
        <f>_xlfn.COMPOUNDVALUE(83)</f>
        <v>Ensemble des départs</v>
      </c>
      <c r="B9" s="41">
        <v>11210</v>
      </c>
      <c r="C9" s="41">
        <v>5484</v>
      </c>
      <c r="D9" s="41">
        <v>2257</v>
      </c>
      <c r="E9" s="41">
        <v>761</v>
      </c>
      <c r="F9" s="41">
        <v>719</v>
      </c>
      <c r="G9" s="41">
        <v>1989</v>
      </c>
      <c r="J9"/>
      <c r="K9"/>
      <c r="L9"/>
    </row>
    <row r="10" spans="1:7" ht="11.25">
      <c r="A10" s="73" t="s">
        <v>143</v>
      </c>
      <c r="B10" s="20">
        <v>11210</v>
      </c>
      <c r="C10" s="20">
        <v>5013</v>
      </c>
      <c r="D10" s="20">
        <v>2283</v>
      </c>
      <c r="E10" s="20">
        <v>819</v>
      </c>
      <c r="F10" s="20">
        <v>873</v>
      </c>
      <c r="G10" s="20">
        <v>2222</v>
      </c>
    </row>
    <row r="11" spans="1:7" ht="11.25">
      <c r="A11" s="74" t="s">
        <v>92</v>
      </c>
      <c r="B11" s="75">
        <v>0</v>
      </c>
      <c r="C11" s="75">
        <v>-471</v>
      </c>
      <c r="D11" s="75">
        <v>26</v>
      </c>
      <c r="E11" s="75">
        <v>58</v>
      </c>
      <c r="F11" s="75">
        <v>154</v>
      </c>
      <c r="G11" s="75">
        <v>233</v>
      </c>
    </row>
    <row r="12" spans="1:2" ht="11.25">
      <c r="A12" s="17" t="s">
        <v>127</v>
      </c>
      <c r="B12" s="49"/>
    </row>
    <row r="13" spans="2:7" ht="11.25">
      <c r="B13" s="49"/>
      <c r="G13" s="29" t="s">
        <v>37</v>
      </c>
    </row>
    <row r="19" spans="1:4" ht="11.25">
      <c r="A19" s="51"/>
      <c r="B19" s="51"/>
      <c r="C19" s="51"/>
      <c r="D19" s="51"/>
    </row>
    <row r="20" spans="1:4" ht="11.25">
      <c r="A20" s="51"/>
      <c r="B20" s="51"/>
      <c r="C20" s="51"/>
      <c r="D20" s="51"/>
    </row>
    <row r="21" spans="1:4" ht="11.25">
      <c r="A21" s="51"/>
      <c r="B21" s="51"/>
      <c r="C21" s="51"/>
      <c r="D21" s="51"/>
    </row>
    <row r="22" spans="1:4" ht="11.25">
      <c r="A22" s="51"/>
      <c r="B22" s="51"/>
      <c r="C22" s="51"/>
      <c r="D22" s="51"/>
    </row>
    <row r="23" spans="1:4" ht="11.25">
      <c r="A23" s="51"/>
      <c r="B23" s="51"/>
      <c r="C23" s="51"/>
      <c r="D23" s="51"/>
    </row>
    <row r="24" spans="1:4" ht="11.25">
      <c r="A24" s="51"/>
      <c r="B24" s="51"/>
      <c r="C24" s="51"/>
      <c r="D24" s="51"/>
    </row>
    <row r="25" spans="1:4" ht="11.25">
      <c r="A25" s="51"/>
      <c r="B25" s="51"/>
      <c r="C25" s="51"/>
      <c r="D25" s="51"/>
    </row>
    <row r="26" spans="1:4" ht="11.25">
      <c r="A26" s="51"/>
      <c r="B26" s="51"/>
      <c r="C26" s="51"/>
      <c r="D26" s="51"/>
    </row>
    <row r="27" spans="1:4" ht="11.25">
      <c r="A27" s="51"/>
      <c r="B27" s="51"/>
      <c r="C27" s="51"/>
      <c r="D27" s="51"/>
    </row>
    <row r="28" spans="1:4" ht="11.25">
      <c r="A28" s="51"/>
      <c r="B28" s="51"/>
      <c r="C28" s="51"/>
      <c r="D28" s="51"/>
    </row>
    <row r="29" spans="1:4" ht="11.25">
      <c r="A29" s="51"/>
      <c r="B29" s="51"/>
      <c r="C29" s="51"/>
      <c r="D29" s="51"/>
    </row>
    <row r="30" spans="1:4" ht="11.25">
      <c r="A30" s="51"/>
      <c r="B30" s="51"/>
      <c r="C30" s="51"/>
      <c r="D30" s="51"/>
    </row>
    <row r="31" spans="1:4" ht="11.25">
      <c r="A31" s="51"/>
      <c r="B31" s="51"/>
      <c r="C31" s="51"/>
      <c r="D31" s="51"/>
    </row>
    <row r="32" spans="1:4" ht="11.25">
      <c r="A32" s="51"/>
      <c r="B32" s="51"/>
      <c r="C32" s="51"/>
      <c r="D32" s="51"/>
    </row>
    <row r="33" spans="1:4" ht="11.25">
      <c r="A33" s="51"/>
      <c r="B33" s="51"/>
      <c r="C33" s="51"/>
      <c r="D33" s="51"/>
    </row>
    <row r="34" spans="1:4" ht="11.25">
      <c r="A34" s="51"/>
      <c r="B34" s="51"/>
      <c r="C34" s="51"/>
      <c r="D34" s="51"/>
    </row>
    <row r="35" spans="1:4" ht="11.25">
      <c r="A35" s="51"/>
      <c r="B35" s="51"/>
      <c r="C35" s="51"/>
      <c r="D35" s="51"/>
    </row>
    <row r="36" spans="1:4" ht="11.25">
      <c r="A36" s="51"/>
      <c r="B36" s="51"/>
      <c r="C36" s="51"/>
      <c r="D36" s="51"/>
    </row>
    <row r="37" spans="1:4" ht="11.25">
      <c r="A37" s="51"/>
      <c r="B37" s="51"/>
      <c r="C37" s="51"/>
      <c r="D37" s="51"/>
    </row>
    <row r="38" spans="1:4" ht="11.25">
      <c r="A38" s="51"/>
      <c r="B38" s="51"/>
      <c r="C38" s="51"/>
      <c r="D38" s="51"/>
    </row>
    <row r="39" spans="1:4" ht="11.25">
      <c r="A39" s="51"/>
      <c r="B39" s="51"/>
      <c r="C39" s="51"/>
      <c r="D39" s="51"/>
    </row>
    <row r="40" spans="1:4" ht="11.25">
      <c r="A40" s="51"/>
      <c r="B40" s="51"/>
      <c r="C40" s="51"/>
      <c r="D40" s="51"/>
    </row>
    <row r="41" spans="1:4" ht="11.25">
      <c r="A41" s="51"/>
      <c r="B41" s="51"/>
      <c r="C41" s="51"/>
      <c r="D41" s="51"/>
    </row>
    <row r="42" spans="1:4" ht="11.25">
      <c r="A42" s="51"/>
      <c r="B42" s="51"/>
      <c r="C42" s="51"/>
      <c r="D42" s="51"/>
    </row>
    <row r="43" spans="1:4" ht="11.25">
      <c r="A43" s="51"/>
      <c r="B43" s="51"/>
      <c r="C43" s="51"/>
      <c r="D43" s="51"/>
    </row>
    <row r="44" spans="1:4" ht="11.25">
      <c r="A44" s="51"/>
      <c r="B44" s="51"/>
      <c r="C44" s="51"/>
      <c r="D44" s="51"/>
    </row>
    <row r="45" spans="1:4" ht="11.25">
      <c r="A45" s="51"/>
      <c r="B45" s="51"/>
      <c r="C45" s="51"/>
      <c r="D45" s="51"/>
    </row>
    <row r="46" spans="1:4" ht="11.25">
      <c r="A46" s="51"/>
      <c r="B46" s="51"/>
      <c r="C46" s="51"/>
      <c r="D46" s="51"/>
    </row>
    <row r="47" spans="1:4" ht="11.25">
      <c r="A47" s="51"/>
      <c r="B47" s="51"/>
      <c r="C47" s="51"/>
      <c r="D47" s="51"/>
    </row>
    <row r="48" spans="1:4" ht="11.25">
      <c r="A48" s="51"/>
      <c r="B48" s="51"/>
      <c r="C48" s="51"/>
      <c r="D48" s="51"/>
    </row>
    <row r="49" spans="1:4" ht="11.25">
      <c r="A49" s="51"/>
      <c r="B49" s="51"/>
      <c r="C49" s="51"/>
      <c r="D49" s="51"/>
    </row>
    <row r="50" spans="1:4" ht="11.25">
      <c r="A50" s="51"/>
      <c r="B50" s="51"/>
      <c r="C50" s="51"/>
      <c r="D50" s="51"/>
    </row>
    <row r="51" spans="1:4" ht="11.25">
      <c r="A51" s="51"/>
      <c r="B51" s="51"/>
      <c r="C51" s="51"/>
      <c r="D51" s="51"/>
    </row>
    <row r="52" spans="1:4" ht="11.25">
      <c r="A52" s="51"/>
      <c r="B52" s="51"/>
      <c r="C52" s="51"/>
      <c r="D52" s="51"/>
    </row>
    <row r="53" spans="1:4" ht="11.25">
      <c r="A53" s="51"/>
      <c r="B53" s="51"/>
      <c r="C53" s="51"/>
      <c r="D53" s="51"/>
    </row>
    <row r="54" spans="1:4" ht="11.25">
      <c r="A54" s="51"/>
      <c r="B54" s="51"/>
      <c r="C54" s="51"/>
      <c r="D54" s="51"/>
    </row>
    <row r="55" spans="1:4" ht="11.25">
      <c r="A55" s="51"/>
      <c r="B55" s="51"/>
      <c r="C55" s="51"/>
      <c r="D55" s="51"/>
    </row>
    <row r="56" spans="1:4" ht="11.25">
      <c r="A56" s="51"/>
      <c r="B56" s="51"/>
      <c r="C56" s="51"/>
      <c r="D56" s="51"/>
    </row>
    <row r="57" spans="1:4" ht="11.25">
      <c r="A57" s="51"/>
      <c r="B57" s="51"/>
      <c r="C57" s="51"/>
      <c r="D57" s="51"/>
    </row>
    <row r="58" spans="1:4" ht="11.25">
      <c r="A58" s="51"/>
      <c r="B58" s="51"/>
      <c r="C58" s="51"/>
      <c r="D58" s="51"/>
    </row>
    <row r="59" spans="1:4" ht="11.25">
      <c r="A59" s="51"/>
      <c r="B59" s="51"/>
      <c r="C59" s="51"/>
      <c r="D59" s="51"/>
    </row>
    <row r="60" spans="1:4" ht="11.25">
      <c r="A60" s="51"/>
      <c r="B60" s="51"/>
      <c r="C60" s="51"/>
      <c r="D60" s="51"/>
    </row>
    <row r="61" spans="1:4" ht="11.25">
      <c r="A61" s="51"/>
      <c r="B61" s="51"/>
      <c r="C61" s="51"/>
      <c r="D61" s="51"/>
    </row>
    <row r="62" spans="1:4" ht="11.25">
      <c r="A62" s="51"/>
      <c r="B62" s="51"/>
      <c r="C62" s="51"/>
      <c r="D62" s="51"/>
    </row>
    <row r="63" spans="1:4" ht="11.25">
      <c r="A63" s="51"/>
      <c r="B63" s="51"/>
      <c r="C63" s="51"/>
      <c r="D63" s="51"/>
    </row>
    <row r="64" spans="1:4" ht="11.25">
      <c r="A64" s="51"/>
      <c r="B64" s="51"/>
      <c r="C64" s="51"/>
      <c r="D64" s="51"/>
    </row>
    <row r="65" spans="1:4" ht="11.25">
      <c r="A65" s="51"/>
      <c r="B65" s="51"/>
      <c r="C65" s="51"/>
      <c r="D65" s="51"/>
    </row>
    <row r="66" spans="1:4" ht="11.25">
      <c r="A66" s="51"/>
      <c r="B66" s="51"/>
      <c r="C66" s="51"/>
      <c r="D66" s="51"/>
    </row>
    <row r="67" spans="1:4" ht="11.25">
      <c r="A67" s="51"/>
      <c r="B67" s="51"/>
      <c r="C67" s="51"/>
      <c r="D67" s="51"/>
    </row>
    <row r="68" spans="1:4" ht="11.25">
      <c r="A68" s="51"/>
      <c r="B68" s="51"/>
      <c r="C68" s="51"/>
      <c r="D68" s="51"/>
    </row>
    <row r="69" spans="1:4" ht="11.25">
      <c r="A69" s="51"/>
      <c r="B69" s="51"/>
      <c r="C69" s="51"/>
      <c r="D69" s="51"/>
    </row>
    <row r="70" spans="1:4" ht="11.25">
      <c r="A70" s="51"/>
      <c r="B70" s="51"/>
      <c r="C70" s="51"/>
      <c r="D70" s="51"/>
    </row>
    <row r="71" spans="1:4" ht="11.25">
      <c r="A71" s="51"/>
      <c r="B71" s="51"/>
      <c r="C71" s="51"/>
      <c r="D71" s="51"/>
    </row>
    <row r="72" spans="1:4" ht="11.25">
      <c r="A72" s="51"/>
      <c r="B72" s="51"/>
      <c r="C72" s="51"/>
      <c r="D72" s="51"/>
    </row>
    <row r="73" spans="1:4" ht="11.25">
      <c r="A73" s="51"/>
      <c r="B73" s="51"/>
      <c r="C73" s="51"/>
      <c r="D73" s="51"/>
    </row>
    <row r="74" spans="1:4" ht="11.25">
      <c r="A74" s="51"/>
      <c r="B74" s="51"/>
      <c r="C74" s="51"/>
      <c r="D74" s="51"/>
    </row>
    <row r="75" spans="1:4" ht="11.25">
      <c r="A75" s="51"/>
      <c r="B75" s="51"/>
      <c r="C75" s="51"/>
      <c r="D75" s="51"/>
    </row>
    <row r="76" spans="1:4" ht="11.25">
      <c r="A76" s="51"/>
      <c r="B76" s="51"/>
      <c r="C76" s="51"/>
      <c r="D76" s="51"/>
    </row>
    <row r="77" spans="1:4" ht="11.25">
      <c r="A77" s="51"/>
      <c r="B77" s="51"/>
      <c r="C77" s="51"/>
      <c r="D77" s="51"/>
    </row>
    <row r="78" spans="1:4" ht="11.25">
      <c r="A78" s="51"/>
      <c r="B78" s="51"/>
      <c r="C78" s="51"/>
      <c r="D78" s="51"/>
    </row>
    <row r="79" spans="1:4" ht="11.25">
      <c r="A79" s="51"/>
      <c r="B79" s="51"/>
      <c r="C79" s="51"/>
      <c r="D79" s="51"/>
    </row>
    <row r="80" spans="1:4" ht="11.25">
      <c r="A80" s="51"/>
      <c r="B80" s="51"/>
      <c r="C80" s="51"/>
      <c r="D80" s="51"/>
    </row>
    <row r="81" spans="1:4" ht="11.25">
      <c r="A81" s="51"/>
      <c r="B81" s="51"/>
      <c r="C81" s="51"/>
      <c r="D81" s="51"/>
    </row>
    <row r="82" spans="1:4" ht="11.25">
      <c r="A82" s="51"/>
      <c r="B82" s="51"/>
      <c r="C82" s="51"/>
      <c r="D82" s="51"/>
    </row>
    <row r="83" spans="1:4" ht="11.25">
      <c r="A83" s="51"/>
      <c r="B83" s="51"/>
      <c r="C83" s="51"/>
      <c r="D83" s="51"/>
    </row>
    <row r="84" spans="1:4" ht="11.25">
      <c r="A84" s="51"/>
      <c r="B84" s="51"/>
      <c r="C84" s="51"/>
      <c r="D84" s="51"/>
    </row>
    <row r="85" spans="1:4" ht="11.25">
      <c r="A85" s="51"/>
      <c r="B85" s="51"/>
      <c r="C85" s="51"/>
      <c r="D85" s="51"/>
    </row>
    <row r="86" spans="1:4" ht="11.25">
      <c r="A86" s="51"/>
      <c r="B86" s="51"/>
      <c r="C86" s="51"/>
      <c r="D86" s="51"/>
    </row>
    <row r="87" spans="1:4" ht="11.25">
      <c r="A87" s="51"/>
      <c r="B87" s="51"/>
      <c r="C87" s="51"/>
      <c r="D87" s="51"/>
    </row>
    <row r="88" spans="1:4" ht="11.25">
      <c r="A88" s="51"/>
      <c r="B88" s="51"/>
      <c r="C88" s="51"/>
      <c r="D88" s="51"/>
    </row>
    <row r="89" spans="1:4" ht="11.25">
      <c r="A89" s="51"/>
      <c r="B89" s="51"/>
      <c r="C89" s="51"/>
      <c r="D89" s="51"/>
    </row>
    <row r="90" spans="1:4" ht="11.25">
      <c r="A90" s="51"/>
      <c r="B90" s="51"/>
      <c r="C90" s="51"/>
      <c r="D90" s="51"/>
    </row>
    <row r="91" spans="1:4" ht="11.25">
      <c r="A91" s="51"/>
      <c r="B91" s="51"/>
      <c r="C91" s="51"/>
      <c r="D91" s="51"/>
    </row>
    <row r="92" spans="1:4" ht="11.25">
      <c r="A92" s="51"/>
      <c r="B92" s="51"/>
      <c r="C92" s="51"/>
      <c r="D92" s="51"/>
    </row>
    <row r="93" spans="1:4" ht="11.25">
      <c r="A93" s="51"/>
      <c r="B93" s="51"/>
      <c r="C93" s="51"/>
      <c r="D93" s="51"/>
    </row>
    <row r="94" spans="1:4" ht="11.25">
      <c r="A94" s="51"/>
      <c r="B94" s="51"/>
      <c r="C94" s="51"/>
      <c r="D94" s="51"/>
    </row>
    <row r="95" spans="1:4" ht="11.25">
      <c r="A95" s="51"/>
      <c r="B95" s="51"/>
      <c r="C95" s="51"/>
      <c r="D95" s="51"/>
    </row>
    <row r="96" spans="1:4" ht="11.25">
      <c r="A96" s="51"/>
      <c r="B96" s="51"/>
      <c r="C96" s="51"/>
      <c r="D96" s="51"/>
    </row>
    <row r="97" spans="1:4" ht="11.25">
      <c r="A97" s="51"/>
      <c r="B97" s="51"/>
      <c r="C97" s="51"/>
      <c r="D97" s="51"/>
    </row>
    <row r="98" spans="1:4" ht="11.25">
      <c r="A98" s="51"/>
      <c r="B98" s="51"/>
      <c r="C98" s="51"/>
      <c r="D98" s="51"/>
    </row>
    <row r="99" spans="1:4" ht="11.25">
      <c r="A99" s="51"/>
      <c r="B99" s="51"/>
      <c r="C99" s="51"/>
      <c r="D99" s="51"/>
    </row>
    <row r="100" spans="1:4" ht="11.25">
      <c r="A100" s="51"/>
      <c r="B100" s="51"/>
      <c r="C100" s="51"/>
      <c r="D100" s="51"/>
    </row>
    <row r="101" spans="1:4" ht="11.25">
      <c r="A101" s="51"/>
      <c r="B101" s="51"/>
      <c r="C101" s="51"/>
      <c r="D101" s="51"/>
    </row>
    <row r="102" spans="1:4" ht="11.25">
      <c r="A102" s="51"/>
      <c r="B102" s="51"/>
      <c r="C102" s="51"/>
      <c r="D102" s="51"/>
    </row>
    <row r="103" spans="1:4" ht="11.25">
      <c r="A103" s="51"/>
      <c r="B103" s="51"/>
      <c r="C103" s="51"/>
      <c r="D103" s="51"/>
    </row>
    <row r="104" spans="1:4" ht="11.25">
      <c r="A104" s="51"/>
      <c r="B104" s="51"/>
      <c r="C104" s="51"/>
      <c r="D104" s="51"/>
    </row>
    <row r="105" spans="1:4" ht="11.25">
      <c r="A105" s="51"/>
      <c r="B105" s="51"/>
      <c r="C105" s="51"/>
      <c r="D105" s="51"/>
    </row>
    <row r="106" spans="1:4" ht="11.25">
      <c r="A106" s="51"/>
      <c r="B106" s="51"/>
      <c r="C106" s="51"/>
      <c r="D106" s="51"/>
    </row>
    <row r="107" spans="1:4" ht="11.25">
      <c r="A107" s="51"/>
      <c r="B107" s="51"/>
      <c r="C107" s="51"/>
      <c r="D107" s="51"/>
    </row>
    <row r="108" spans="1:4" ht="11.25">
      <c r="A108" s="51"/>
      <c r="B108" s="51"/>
      <c r="C108" s="51"/>
      <c r="D108" s="51"/>
    </row>
    <row r="109" spans="1:4" ht="11.25">
      <c r="A109" s="51"/>
      <c r="B109" s="51"/>
      <c r="C109" s="51"/>
      <c r="D109" s="51"/>
    </row>
    <row r="110" spans="1:4" ht="11.25">
      <c r="A110" s="51"/>
      <c r="B110" s="51"/>
      <c r="C110" s="51"/>
      <c r="D110" s="51"/>
    </row>
    <row r="111" spans="1:4" ht="11.25">
      <c r="A111" s="51"/>
      <c r="B111" s="51"/>
      <c r="C111" s="51"/>
      <c r="D111" s="51"/>
    </row>
    <row r="112" spans="1:4" ht="11.25">
      <c r="A112" s="51"/>
      <c r="B112" s="51"/>
      <c r="C112" s="51"/>
      <c r="D112" s="51"/>
    </row>
    <row r="113" spans="1:4" ht="11.25">
      <c r="A113" s="51"/>
      <c r="B113" s="51"/>
      <c r="C113" s="51"/>
      <c r="D113" s="51"/>
    </row>
  </sheetData>
  <sheetProtection/>
  <mergeCells count="2">
    <mergeCell ref="A1:G1"/>
    <mergeCell ref="C2:G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headerFooter>
    <oddFooter>&amp;LMigrations  &amp;P /&amp;N&amp;R&amp;G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3"/>
  <sheetViews>
    <sheetView showGridLines="0" zoomScalePageLayoutView="0" workbookViewId="0" topLeftCell="A13">
      <selection activeCell="A25" sqref="A25:B40"/>
    </sheetView>
  </sheetViews>
  <sheetFormatPr defaultColWidth="12" defaultRowHeight="11.25"/>
  <cols>
    <col min="1" max="1" width="36.33203125" style="21" customWidth="1"/>
    <col min="2" max="2" width="17.33203125" style="21" customWidth="1"/>
    <col min="3" max="4" width="14.83203125" style="21" customWidth="1"/>
    <col min="5" max="16384" width="12" style="21" customWidth="1"/>
  </cols>
  <sheetData>
    <row r="1" spans="1:2" s="20" customFormat="1" ht="27" customHeight="1">
      <c r="A1" s="77" t="s">
        <v>2</v>
      </c>
      <c r="B1" s="77"/>
    </row>
    <row r="2" spans="1:2" ht="11.25">
      <c r="A2" s="78" t="s">
        <v>30</v>
      </c>
      <c r="B2" s="79"/>
    </row>
    <row r="3" spans="1:3" ht="11.25">
      <c r="A3" s="22" t="s">
        <v>31</v>
      </c>
      <c r="B3" s="23">
        <v>268207</v>
      </c>
      <c r="C3"/>
    </row>
    <row r="4" spans="1:3" ht="11.25">
      <c r="A4" s="24" t="str">
        <f>_xlfn.COMPOUNDVALUE(1)</f>
        <v>Polynésie française</v>
      </c>
      <c r="B4" s="25">
        <v>237837</v>
      </c>
      <c r="C4"/>
    </row>
    <row r="5" spans="1:3" ht="11.25">
      <c r="A5" s="24" t="str">
        <f>_xlfn.COMPOUNDVALUE(2)</f>
        <v>Métropole</v>
      </c>
      <c r="B5" s="25">
        <v>22273</v>
      </c>
      <c r="C5"/>
    </row>
    <row r="6" spans="1:3" ht="11.25">
      <c r="A6" s="24" t="str">
        <f>_xlfn.COMPOUNDVALUE(3)</f>
        <v>Nouvelle-Calédonie, Wallis et Futuna</v>
      </c>
      <c r="B6" s="25">
        <v>2576</v>
      </c>
      <c r="C6"/>
    </row>
    <row r="7" spans="1:3" ht="11.25">
      <c r="A7" s="24" t="str">
        <f>_xlfn.COMPOUNDVALUE(4)</f>
        <v>Autres collectivités d'outre-mer ou DOM</v>
      </c>
      <c r="B7" s="25">
        <v>980</v>
      </c>
      <c r="C7"/>
    </row>
    <row r="8" spans="1:3" ht="11.25">
      <c r="A8" s="26" t="str">
        <f>_xlfn.COMPOUNDVALUE(5)</f>
        <v>Etranger</v>
      </c>
      <c r="B8" s="27">
        <v>4541</v>
      </c>
      <c r="C8"/>
    </row>
    <row r="9" spans="1:3" ht="15" customHeight="1">
      <c r="A9" s="28"/>
      <c r="B9" s="29" t="s">
        <v>37</v>
      </c>
      <c r="C9"/>
    </row>
    <row r="10" ht="11.25">
      <c r="C10"/>
    </row>
    <row r="11" spans="1:3" ht="22.5" customHeight="1">
      <c r="A11" s="80" t="s">
        <v>38</v>
      </c>
      <c r="B11" s="81"/>
      <c r="C11"/>
    </row>
    <row r="12" spans="1:3" ht="11.25">
      <c r="A12" s="22" t="s">
        <v>31</v>
      </c>
      <c r="B12" s="23">
        <v>30370</v>
      </c>
      <c r="C12"/>
    </row>
    <row r="13" spans="1:3" ht="11.25">
      <c r="A13" s="30" t="str">
        <f>_xlfn.COMPOUNDVALUE(6)</f>
        <v>Avant 1970</v>
      </c>
      <c r="B13" s="25">
        <v>1410</v>
      </c>
      <c r="C13"/>
    </row>
    <row r="14" spans="1:3" ht="11.25">
      <c r="A14" s="30" t="str">
        <f>_xlfn.COMPOUNDVALUE(7)</f>
        <v>De 1970 à 1974</v>
      </c>
      <c r="B14" s="25">
        <v>877</v>
      </c>
      <c r="C14"/>
    </row>
    <row r="15" spans="1:3" ht="11.25">
      <c r="A15" s="30" t="str">
        <f>_xlfn.COMPOUNDVALUE(8)</f>
        <v>De 1975 à 1979</v>
      </c>
      <c r="B15" s="25">
        <v>1213</v>
      </c>
      <c r="C15"/>
    </row>
    <row r="16" spans="1:3" ht="11.25">
      <c r="A16" s="30" t="str">
        <f>_xlfn.COMPOUNDVALUE(9)</f>
        <v>De 1980 à 1984</v>
      </c>
      <c r="B16" s="25">
        <v>2027</v>
      </c>
      <c r="C16"/>
    </row>
    <row r="17" spans="1:3" ht="11.25">
      <c r="A17" s="30" t="str">
        <f>_xlfn.COMPOUNDVALUE(10)</f>
        <v>De 1985 à 1989</v>
      </c>
      <c r="B17" s="25">
        <v>1806</v>
      </c>
      <c r="C17"/>
    </row>
    <row r="18" spans="1:3" ht="11.25">
      <c r="A18" s="30" t="str">
        <f>_xlfn.COMPOUNDVALUE(11)</f>
        <v>De 1990 à 1994</v>
      </c>
      <c r="B18" s="25">
        <v>2280</v>
      </c>
      <c r="C18"/>
    </row>
    <row r="19" spans="1:3" ht="11.25">
      <c r="A19" s="30" t="str">
        <f>_xlfn.COMPOUNDVALUE(12)</f>
        <v>De 1995 à 1999</v>
      </c>
      <c r="B19" s="25">
        <v>2757</v>
      </c>
      <c r="C19"/>
    </row>
    <row r="20" spans="1:3" ht="11.25">
      <c r="A20" s="30" t="str">
        <f>_xlfn.COMPOUNDVALUE(13)</f>
        <v>De 2000 à 2004</v>
      </c>
      <c r="B20" s="25">
        <v>3993</v>
      </c>
      <c r="C20"/>
    </row>
    <row r="21" spans="1:2" ht="11.25">
      <c r="A21" s="30" t="s">
        <v>47</v>
      </c>
      <c r="B21" s="25">
        <v>5224</v>
      </c>
    </row>
    <row r="22" spans="1:2" ht="11.25">
      <c r="A22" s="31" t="s">
        <v>48</v>
      </c>
      <c r="B22" s="27">
        <v>8783</v>
      </c>
    </row>
    <row r="23" ht="22.5" customHeight="1">
      <c r="B23" s="29" t="s">
        <v>37</v>
      </c>
    </row>
    <row r="24" spans="1:2" ht="33.75" customHeight="1">
      <c r="A24" s="82" t="s">
        <v>49</v>
      </c>
      <c r="B24" s="83"/>
    </row>
    <row r="25" spans="1:2" ht="11.25">
      <c r="A25" s="22" t="s">
        <v>31</v>
      </c>
      <c r="B25" s="23">
        <v>245866</v>
      </c>
    </row>
    <row r="26" spans="1:2" ht="11.25">
      <c r="A26" s="30" t="str">
        <f>_xlfn.COMPOUNDVALUE(14)</f>
        <v>Même logement</v>
      </c>
      <c r="B26" s="25">
        <v>176218</v>
      </c>
    </row>
    <row r="27" spans="1:2" ht="11.25">
      <c r="A27" s="30" t="str">
        <f>_xlfn.COMPOUNDVALUE(15)</f>
        <v>Autre logement, même commune</v>
      </c>
      <c r="B27" s="25">
        <v>23661</v>
      </c>
    </row>
    <row r="28" spans="1:2" ht="11.25">
      <c r="A28" s="30" t="str">
        <f>_xlfn.COMPOUNDVALUE(16)</f>
        <v>Autre commune, même subdivision</v>
      </c>
      <c r="B28" s="25">
        <v>24155</v>
      </c>
    </row>
    <row r="29" spans="1:2" ht="11.25">
      <c r="A29" s="30" t="str">
        <f>_xlfn.COMPOUNDVALUE(17)</f>
        <v>Autre subdivision</v>
      </c>
      <c r="B29" s="25">
        <v>11210</v>
      </c>
    </row>
    <row r="30" spans="1:2" ht="11.25">
      <c r="A30" s="30" t="str">
        <f>_xlfn.COMPOUNDVALUE(18)</f>
        <v>Hors Polynésie française</v>
      </c>
      <c r="B30" s="25">
        <v>10622</v>
      </c>
    </row>
    <row r="31" spans="1:2" ht="11.25">
      <c r="A31" s="32" t="str">
        <f>_xlfn.COMPOUNDVALUE(19)</f>
        <v>Métropole</v>
      </c>
      <c r="B31" s="25">
        <v>8364</v>
      </c>
    </row>
    <row r="32" spans="1:2" ht="11.25">
      <c r="A32" s="32" t="str">
        <f>_xlfn.COMPOUNDVALUE(20)</f>
        <v>Nouvelle-Calédonie, Wallis et Futuna</v>
      </c>
      <c r="B32" s="25">
        <v>407</v>
      </c>
    </row>
    <row r="33" spans="1:2" ht="11.25">
      <c r="A33" s="32" t="str">
        <f>_xlfn.COMPOUNDVALUE(21)</f>
        <v>Autres collectivités d'outre-mer ou DOM</v>
      </c>
      <c r="B33" s="25">
        <v>903</v>
      </c>
    </row>
    <row r="34" spans="1:2" ht="11.25">
      <c r="A34" s="32" t="str">
        <f>_xlfn.COMPOUNDVALUE(22)</f>
        <v>Etranger</v>
      </c>
      <c r="B34" s="25">
        <v>948</v>
      </c>
    </row>
    <row r="35" spans="1:2" ht="11.25">
      <c r="A35" s="33" t="str">
        <f>_xlfn.COMPOUNDVALUE(23)</f>
        <v>Afrique</v>
      </c>
      <c r="B35" s="25">
        <v>98</v>
      </c>
    </row>
    <row r="36" spans="1:2" ht="11.25">
      <c r="A36" s="33" t="str">
        <f>_xlfn.COMPOUNDVALUE(24)</f>
        <v>Océanie</v>
      </c>
      <c r="B36" s="25">
        <v>162</v>
      </c>
    </row>
    <row r="37" spans="1:2" ht="11.25">
      <c r="A37" s="33" t="str">
        <f>_xlfn.COMPOUNDVALUE(25)</f>
        <v>Amérique</v>
      </c>
      <c r="B37" s="25">
        <v>343</v>
      </c>
    </row>
    <row r="38" spans="1:2" ht="11.25">
      <c r="A38" s="33" t="str">
        <f>_xlfn.COMPOUNDVALUE(26)</f>
        <v>Asie</v>
      </c>
      <c r="B38" s="25">
        <v>187</v>
      </c>
    </row>
    <row r="39" spans="1:2" ht="11.25">
      <c r="A39" s="34" t="str">
        <f>_xlfn.COMPOUNDVALUE(27)</f>
        <v>Europe</v>
      </c>
      <c r="B39" s="27">
        <v>156</v>
      </c>
    </row>
    <row r="40" ht="17.25" customHeight="1">
      <c r="B40" s="29" t="s">
        <v>37</v>
      </c>
    </row>
    <row r="41" spans="1:2" ht="11.25" customHeight="1">
      <c r="A41" s="84" t="s">
        <v>60</v>
      </c>
      <c r="B41" s="84"/>
    </row>
    <row r="42" ht="11.25" customHeight="1"/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  <row r="146" spans="1:2" ht="11.25">
      <c r="A146"/>
      <c r="B146"/>
    </row>
    <row r="147" spans="1:2" ht="11.25">
      <c r="A147"/>
      <c r="B147"/>
    </row>
    <row r="148" spans="1:2" ht="11.25">
      <c r="A148"/>
      <c r="B148"/>
    </row>
    <row r="149" spans="1:2" ht="11.25">
      <c r="A149"/>
      <c r="B149"/>
    </row>
    <row r="150" spans="1:2" ht="11.25">
      <c r="A150"/>
      <c r="B150"/>
    </row>
    <row r="151" spans="1:2" ht="11.25">
      <c r="A151"/>
      <c r="B151"/>
    </row>
    <row r="152" spans="1:2" ht="11.25">
      <c r="A152"/>
      <c r="B152"/>
    </row>
    <row r="153" spans="1:2" ht="11.25">
      <c r="A153"/>
      <c r="B153"/>
    </row>
    <row r="154" spans="1:2" ht="11.25">
      <c r="A154"/>
      <c r="B154"/>
    </row>
    <row r="155" spans="1:2" ht="11.25">
      <c r="A155"/>
      <c r="B155"/>
    </row>
    <row r="156" spans="1:2" ht="11.25">
      <c r="A156"/>
      <c r="B156"/>
    </row>
    <row r="157" spans="1:2" ht="11.25">
      <c r="A157"/>
      <c r="B157"/>
    </row>
    <row r="158" spans="1:2" ht="11.25">
      <c r="A158"/>
      <c r="B158"/>
    </row>
    <row r="159" spans="1:2" ht="11.25">
      <c r="A159"/>
      <c r="B159"/>
    </row>
    <row r="160" spans="1:2" ht="11.25">
      <c r="A160"/>
      <c r="B160"/>
    </row>
    <row r="161" spans="1:2" ht="11.25">
      <c r="A161"/>
      <c r="B161"/>
    </row>
    <row r="162" spans="1:2" ht="11.25">
      <c r="A162"/>
      <c r="B162"/>
    </row>
    <row r="163" spans="1:2" ht="11.25">
      <c r="A163"/>
      <c r="B163"/>
    </row>
    <row r="164" spans="1:2" ht="11.25">
      <c r="A164"/>
      <c r="B164"/>
    </row>
    <row r="165" spans="1:2" ht="11.25">
      <c r="A165"/>
      <c r="B165"/>
    </row>
    <row r="166" spans="1:2" ht="11.25">
      <c r="A166"/>
      <c r="B166"/>
    </row>
    <row r="167" spans="1:2" ht="11.25">
      <c r="A167"/>
      <c r="B167"/>
    </row>
    <row r="168" spans="1:2" ht="11.25">
      <c r="A168"/>
      <c r="B168"/>
    </row>
    <row r="169" spans="1:2" ht="11.25">
      <c r="A169"/>
      <c r="B169"/>
    </row>
    <row r="170" spans="1:2" ht="11.25">
      <c r="A170"/>
      <c r="B170"/>
    </row>
    <row r="171" spans="1:2" ht="11.25">
      <c r="A171"/>
      <c r="B171"/>
    </row>
    <row r="172" spans="1:2" ht="11.25">
      <c r="A172"/>
      <c r="B172"/>
    </row>
    <row r="173" spans="1:2" ht="11.25">
      <c r="A173"/>
      <c r="B173"/>
    </row>
    <row r="174" spans="1:2" ht="11.25">
      <c r="A174"/>
      <c r="B174"/>
    </row>
    <row r="175" spans="1:2" ht="11.25">
      <c r="A175"/>
      <c r="B175"/>
    </row>
    <row r="176" spans="1:2" ht="11.25">
      <c r="A176"/>
      <c r="B176"/>
    </row>
    <row r="177" spans="1:2" ht="11.25">
      <c r="A177"/>
      <c r="B177"/>
    </row>
    <row r="178" spans="1:2" ht="11.25">
      <c r="A178"/>
      <c r="B178"/>
    </row>
    <row r="179" spans="1:2" ht="11.25">
      <c r="A179"/>
      <c r="B179"/>
    </row>
    <row r="180" spans="1:2" ht="11.25">
      <c r="A180"/>
      <c r="B180"/>
    </row>
    <row r="181" spans="1:2" ht="11.25">
      <c r="A181"/>
      <c r="B181"/>
    </row>
    <row r="182" spans="1:2" ht="11.25">
      <c r="A182"/>
      <c r="B182"/>
    </row>
    <row r="183" spans="1:2" ht="11.25">
      <c r="A183"/>
      <c r="B183"/>
    </row>
    <row r="184" spans="1:2" ht="11.25">
      <c r="A184"/>
      <c r="B184"/>
    </row>
    <row r="185" spans="1:2" ht="11.25">
      <c r="A185"/>
      <c r="B185"/>
    </row>
    <row r="186" spans="1:2" ht="11.25">
      <c r="A186"/>
      <c r="B186"/>
    </row>
    <row r="187" spans="1:2" ht="11.25">
      <c r="A187"/>
      <c r="B187"/>
    </row>
    <row r="188" spans="1:2" ht="11.25">
      <c r="A188"/>
      <c r="B188"/>
    </row>
    <row r="189" spans="1:2" ht="11.25">
      <c r="A189"/>
      <c r="B189"/>
    </row>
    <row r="190" spans="1:2" ht="11.25">
      <c r="A190"/>
      <c r="B190"/>
    </row>
    <row r="191" spans="1:2" ht="11.25">
      <c r="A191"/>
      <c r="B191"/>
    </row>
    <row r="192" spans="1:2" ht="11.25">
      <c r="A192"/>
      <c r="B192"/>
    </row>
    <row r="193" spans="1:2" ht="11.25">
      <c r="A193"/>
      <c r="B193"/>
    </row>
    <row r="194" spans="1:2" ht="11.25">
      <c r="A194"/>
      <c r="B194"/>
    </row>
    <row r="195" spans="1:2" ht="11.25">
      <c r="A195"/>
      <c r="B195"/>
    </row>
    <row r="196" spans="1:2" ht="11.25">
      <c r="A196"/>
      <c r="B196"/>
    </row>
    <row r="197" spans="1:2" ht="11.25">
      <c r="A197"/>
      <c r="B197"/>
    </row>
    <row r="198" spans="1:2" ht="11.25">
      <c r="A198"/>
      <c r="B198"/>
    </row>
    <row r="199" spans="1:2" ht="11.25">
      <c r="A199"/>
      <c r="B199"/>
    </row>
    <row r="200" spans="1:2" ht="11.25">
      <c r="A200"/>
      <c r="B200"/>
    </row>
    <row r="201" spans="1:2" ht="11.25">
      <c r="A201"/>
      <c r="B201"/>
    </row>
    <row r="202" spans="1:2" ht="11.25">
      <c r="A202"/>
      <c r="B202"/>
    </row>
    <row r="203" spans="1:2" ht="11.25">
      <c r="A203"/>
      <c r="B203"/>
    </row>
    <row r="204" spans="1:2" ht="11.25">
      <c r="A204"/>
      <c r="B204"/>
    </row>
    <row r="205" spans="1:2" ht="11.25">
      <c r="A205"/>
      <c r="B205"/>
    </row>
    <row r="206" spans="1:2" ht="11.25">
      <c r="A206"/>
      <c r="B206"/>
    </row>
    <row r="207" spans="1:2" ht="11.25">
      <c r="A207"/>
      <c r="B207"/>
    </row>
    <row r="208" spans="1:2" ht="11.25">
      <c r="A208"/>
      <c r="B208"/>
    </row>
    <row r="209" spans="1:2" ht="11.25">
      <c r="A209"/>
      <c r="B209"/>
    </row>
    <row r="210" spans="1:2" ht="11.25">
      <c r="A210"/>
      <c r="B210"/>
    </row>
    <row r="211" spans="1:2" ht="11.25">
      <c r="A211"/>
      <c r="B211"/>
    </row>
    <row r="212" spans="1:2" ht="11.25">
      <c r="A212"/>
      <c r="B212"/>
    </row>
    <row r="213" spans="1:2" ht="11.25">
      <c r="A213"/>
      <c r="B213"/>
    </row>
    <row r="214" spans="1:2" ht="11.25">
      <c r="A214"/>
      <c r="B214"/>
    </row>
    <row r="215" spans="1:2" ht="11.25">
      <c r="A215"/>
      <c r="B215"/>
    </row>
    <row r="216" spans="1:2" ht="11.25">
      <c r="A216"/>
      <c r="B216"/>
    </row>
    <row r="217" spans="1:2" ht="11.25">
      <c r="A217"/>
      <c r="B217"/>
    </row>
    <row r="218" spans="1:2" ht="11.25">
      <c r="A218"/>
      <c r="B218"/>
    </row>
    <row r="219" spans="1:2" ht="11.25">
      <c r="A219"/>
      <c r="B219"/>
    </row>
    <row r="220" spans="1:2" ht="11.25">
      <c r="A220"/>
      <c r="B220"/>
    </row>
    <row r="221" spans="1:2" ht="11.25">
      <c r="A221"/>
      <c r="B221"/>
    </row>
    <row r="222" spans="1:2" ht="11.25">
      <c r="A222"/>
      <c r="B222"/>
    </row>
    <row r="223" spans="1:2" ht="11.25">
      <c r="A223"/>
      <c r="B223"/>
    </row>
    <row r="224" spans="1:2" ht="11.25">
      <c r="A224"/>
      <c r="B224"/>
    </row>
    <row r="225" spans="1:2" ht="11.25">
      <c r="A225"/>
      <c r="B225"/>
    </row>
    <row r="226" spans="1:2" ht="11.25">
      <c r="A226"/>
      <c r="B226"/>
    </row>
    <row r="227" spans="1:2" ht="11.25">
      <c r="A227"/>
      <c r="B227"/>
    </row>
    <row r="228" spans="1:2" ht="11.25">
      <c r="A228"/>
      <c r="B228"/>
    </row>
    <row r="229" spans="1:2" ht="11.25">
      <c r="A229"/>
      <c r="B229"/>
    </row>
    <row r="230" spans="1:2" ht="11.25">
      <c r="A230"/>
      <c r="B230"/>
    </row>
    <row r="231" spans="1:2" ht="11.25">
      <c r="A231"/>
      <c r="B231"/>
    </row>
    <row r="232" spans="1:2" ht="11.25">
      <c r="A232"/>
      <c r="B232"/>
    </row>
    <row r="233" spans="1:2" ht="11.25">
      <c r="A233"/>
      <c r="B233"/>
    </row>
    <row r="234" spans="1:2" ht="11.25">
      <c r="A234"/>
      <c r="B234"/>
    </row>
    <row r="235" spans="1:2" ht="11.25">
      <c r="A235"/>
      <c r="B235"/>
    </row>
    <row r="236" spans="1:2" ht="11.25">
      <c r="A236"/>
      <c r="B236"/>
    </row>
    <row r="237" spans="1:2" ht="11.25">
      <c r="A237"/>
      <c r="B237"/>
    </row>
    <row r="238" spans="1:2" ht="11.25">
      <c r="A238"/>
      <c r="B238"/>
    </row>
    <row r="239" spans="1:2" ht="11.25">
      <c r="A239"/>
      <c r="B239"/>
    </row>
    <row r="240" spans="1:2" ht="11.25">
      <c r="A240"/>
      <c r="B240"/>
    </row>
    <row r="241" spans="1:2" ht="11.25">
      <c r="A241"/>
      <c r="B241"/>
    </row>
    <row r="242" spans="1:2" ht="11.25">
      <c r="A242"/>
      <c r="B242"/>
    </row>
    <row r="243" spans="1:2" ht="11.25">
      <c r="A243"/>
      <c r="B243"/>
    </row>
    <row r="244" spans="1:2" ht="11.25">
      <c r="A244"/>
      <c r="B244"/>
    </row>
    <row r="245" spans="1:2" ht="11.25">
      <c r="A245"/>
      <c r="B245"/>
    </row>
    <row r="246" spans="1:2" ht="11.25">
      <c r="A246"/>
      <c r="B246"/>
    </row>
    <row r="247" spans="1:2" ht="11.25">
      <c r="A247"/>
      <c r="B247"/>
    </row>
    <row r="248" spans="1:2" ht="11.25">
      <c r="A248"/>
      <c r="B248"/>
    </row>
    <row r="249" spans="1:2" ht="11.25">
      <c r="A249"/>
      <c r="B249"/>
    </row>
    <row r="250" spans="1:2" ht="11.25">
      <c r="A250"/>
      <c r="B250"/>
    </row>
    <row r="251" spans="1:2" ht="11.25">
      <c r="A251"/>
      <c r="B251"/>
    </row>
    <row r="252" spans="1:2" ht="11.25">
      <c r="A252"/>
      <c r="B252"/>
    </row>
    <row r="253" spans="1:2" ht="11.25">
      <c r="A253"/>
      <c r="B253"/>
    </row>
    <row r="254" spans="1:2" ht="11.25">
      <c r="A254"/>
      <c r="B254"/>
    </row>
    <row r="255" spans="1:2" ht="11.25">
      <c r="A255"/>
      <c r="B255"/>
    </row>
    <row r="256" spans="1:2" ht="11.25">
      <c r="A256"/>
      <c r="B256"/>
    </row>
    <row r="257" spans="1:2" ht="11.25">
      <c r="A257"/>
      <c r="B257"/>
    </row>
    <row r="258" spans="1:2" ht="11.25">
      <c r="A258"/>
      <c r="B258"/>
    </row>
    <row r="259" spans="1:2" ht="11.25">
      <c r="A259"/>
      <c r="B259"/>
    </row>
    <row r="260" spans="1:2" ht="11.25">
      <c r="A260"/>
      <c r="B260"/>
    </row>
    <row r="261" spans="1:2" ht="11.25">
      <c r="A261"/>
      <c r="B261"/>
    </row>
    <row r="262" spans="1:2" ht="11.25">
      <c r="A262"/>
      <c r="B262"/>
    </row>
    <row r="263" spans="1:2" ht="11.25">
      <c r="A263"/>
      <c r="B263"/>
    </row>
    <row r="264" spans="1:2" ht="11.25">
      <c r="A264"/>
      <c r="B264"/>
    </row>
    <row r="265" spans="1:2" ht="11.25">
      <c r="A265"/>
      <c r="B265"/>
    </row>
    <row r="266" spans="1:2" ht="11.25">
      <c r="A266"/>
      <c r="B266"/>
    </row>
    <row r="267" spans="1:2" ht="11.25">
      <c r="A267"/>
      <c r="B267"/>
    </row>
    <row r="268" spans="1:2" ht="11.25">
      <c r="A268"/>
      <c r="B268"/>
    </row>
    <row r="269" spans="1:2" ht="11.25">
      <c r="A269"/>
      <c r="B269"/>
    </row>
    <row r="270" spans="1:2" ht="11.25">
      <c r="A270"/>
      <c r="B270"/>
    </row>
    <row r="271" spans="1:2" ht="11.25">
      <c r="A271"/>
      <c r="B271"/>
    </row>
    <row r="272" spans="1:2" ht="11.25">
      <c r="A272"/>
      <c r="B272"/>
    </row>
    <row r="273" spans="1:2" ht="11.25">
      <c r="A273"/>
      <c r="B273"/>
    </row>
    <row r="274" spans="1:2" ht="11.25">
      <c r="A274"/>
      <c r="B274"/>
    </row>
    <row r="275" spans="1:2" ht="11.25">
      <c r="A275"/>
      <c r="B275"/>
    </row>
    <row r="276" spans="1:2" ht="11.25">
      <c r="A276"/>
      <c r="B276"/>
    </row>
    <row r="277" spans="1:2" ht="11.25">
      <c r="A277"/>
      <c r="B277"/>
    </row>
    <row r="278" spans="1:2" ht="11.25">
      <c r="A278"/>
      <c r="B278"/>
    </row>
    <row r="279" spans="1:2" ht="11.25">
      <c r="A279"/>
      <c r="B279"/>
    </row>
    <row r="280" spans="1:2" ht="11.25">
      <c r="A280"/>
      <c r="B280"/>
    </row>
    <row r="281" spans="1:2" ht="11.25">
      <c r="A281"/>
      <c r="B281"/>
    </row>
    <row r="282" spans="1:2" ht="11.25">
      <c r="A282"/>
      <c r="B282"/>
    </row>
    <row r="283" spans="1:2" ht="11.25">
      <c r="A283"/>
      <c r="B283"/>
    </row>
  </sheetData>
  <sheetProtection/>
  <mergeCells count="5">
    <mergeCell ref="A1:B1"/>
    <mergeCell ref="A2:B2"/>
    <mergeCell ref="A11:B11"/>
    <mergeCell ref="A24:B24"/>
    <mergeCell ref="A41:B4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headerFooter>
    <oddFooter>&amp;LMigrations  &amp;P /&amp;N&amp;R&amp;G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18" sqref="A18:G26"/>
    </sheetView>
  </sheetViews>
  <sheetFormatPr defaultColWidth="12" defaultRowHeight="11.25"/>
  <cols>
    <col min="1" max="1" width="39" style="21" customWidth="1"/>
    <col min="2" max="11" width="9.33203125" style="21" customWidth="1"/>
    <col min="12" max="12" width="11.16015625" style="21" customWidth="1"/>
    <col min="13" max="16384" width="12" style="21" customWidth="1"/>
  </cols>
  <sheetData>
    <row r="1" spans="1:7" s="20" customFormat="1" ht="27" customHeight="1">
      <c r="A1" s="85" t="s">
        <v>4</v>
      </c>
      <c r="B1" s="85"/>
      <c r="C1" s="85"/>
      <c r="D1" s="85"/>
      <c r="E1" s="85"/>
      <c r="F1" s="85"/>
      <c r="G1" s="85"/>
    </row>
    <row r="2" spans="1:7" s="20" customFormat="1" ht="12.75">
      <c r="A2" s="35"/>
      <c r="B2" s="35"/>
      <c r="C2" s="86" t="s">
        <v>61</v>
      </c>
      <c r="D2" s="86"/>
      <c r="E2" s="86"/>
      <c r="F2" s="86"/>
      <c r="G2" s="79"/>
    </row>
    <row r="3" spans="1:7" ht="27" customHeight="1">
      <c r="A3" s="36" t="s">
        <v>62</v>
      </c>
      <c r="B3" s="37" t="str">
        <f>_xlfn.COMPOUNDVALUE(28)</f>
        <v>Ensemble</v>
      </c>
      <c r="C3" s="38" t="str">
        <f>_xlfn.COMPOUNDVALUE(1)</f>
        <v>Polynésie française</v>
      </c>
      <c r="D3" s="38" t="str">
        <f>_xlfn.COMPOUNDVALUE(2)</f>
        <v>Métropole</v>
      </c>
      <c r="E3" s="38" t="str">
        <f>_xlfn.COMPOUNDVALUE(3)</f>
        <v>Nlle Cal.
Wallis</v>
      </c>
      <c r="F3" s="38" t="s">
        <v>64</v>
      </c>
      <c r="G3" s="39" t="str">
        <f>_xlfn.COMPOUNDVALUE(5)</f>
        <v>Etranger</v>
      </c>
    </row>
    <row r="4" spans="1:7" ht="12.75" customHeight="1">
      <c r="A4" s="40" t="str">
        <f>_xlfn.COMPOUNDVALUE(29)</f>
        <v>Ensemble</v>
      </c>
      <c r="B4" s="41">
        <v>268207</v>
      </c>
      <c r="C4" s="41">
        <v>237837</v>
      </c>
      <c r="D4" s="41">
        <v>22273</v>
      </c>
      <c r="E4" s="41">
        <v>2576</v>
      </c>
      <c r="F4" s="41">
        <v>980</v>
      </c>
      <c r="G4" s="42">
        <v>4541</v>
      </c>
    </row>
    <row r="5" spans="1:7" ht="11.25">
      <c r="A5" s="43" t="str">
        <f>_xlfn.COMPOUNDVALUE(30)</f>
        <v>Moins de 10 ans</v>
      </c>
      <c r="B5" s="20">
        <v>42322</v>
      </c>
      <c r="C5" s="20">
        <v>40200</v>
      </c>
      <c r="D5" s="20">
        <v>1717</v>
      </c>
      <c r="E5" s="20">
        <v>76</v>
      </c>
      <c r="F5" s="20">
        <v>101</v>
      </c>
      <c r="G5" s="25">
        <v>228</v>
      </c>
    </row>
    <row r="6" spans="1:7" ht="11.25">
      <c r="A6" s="43" t="str">
        <f>_xlfn.COMPOUNDVALUE(31)</f>
        <v>10-19 ans</v>
      </c>
      <c r="B6" s="20">
        <v>46394</v>
      </c>
      <c r="C6" s="20">
        <v>43623</v>
      </c>
      <c r="D6" s="20">
        <v>2178</v>
      </c>
      <c r="E6" s="20">
        <v>147</v>
      </c>
      <c r="F6" s="20">
        <v>145</v>
      </c>
      <c r="G6" s="25">
        <v>301</v>
      </c>
    </row>
    <row r="7" spans="1:7" ht="11.25">
      <c r="A7" s="43" t="str">
        <f>_xlfn.COMPOUNDVALUE(32)</f>
        <v>20-29 ans</v>
      </c>
      <c r="B7" s="20">
        <v>45071</v>
      </c>
      <c r="C7" s="20">
        <v>42439</v>
      </c>
      <c r="D7" s="20">
        <v>2006</v>
      </c>
      <c r="E7" s="20">
        <v>234</v>
      </c>
      <c r="F7" s="20">
        <v>82</v>
      </c>
      <c r="G7" s="25">
        <v>310</v>
      </c>
    </row>
    <row r="8" spans="1:7" ht="11.25">
      <c r="A8" s="43" t="str">
        <f>_xlfn.COMPOUNDVALUE(33)</f>
        <v>30-39 ans</v>
      </c>
      <c r="B8" s="20">
        <v>39928</v>
      </c>
      <c r="C8" s="20">
        <v>33907</v>
      </c>
      <c r="D8" s="20">
        <v>4270</v>
      </c>
      <c r="E8" s="20">
        <v>832</v>
      </c>
      <c r="F8" s="20">
        <v>145</v>
      </c>
      <c r="G8" s="25">
        <v>774</v>
      </c>
    </row>
    <row r="9" spans="1:7" ht="11.25">
      <c r="A9" s="43" t="str">
        <f>_xlfn.COMPOUNDVALUE(34)</f>
        <v>40-49 ans</v>
      </c>
      <c r="B9" s="20">
        <v>39426</v>
      </c>
      <c r="C9" s="20">
        <v>32386</v>
      </c>
      <c r="D9" s="20">
        <v>5123</v>
      </c>
      <c r="E9" s="20">
        <v>818</v>
      </c>
      <c r="F9" s="20">
        <v>193</v>
      </c>
      <c r="G9" s="25">
        <v>906</v>
      </c>
    </row>
    <row r="10" spans="1:7" ht="11.25">
      <c r="A10" s="43" t="str">
        <f>_xlfn.COMPOUNDVALUE(35)</f>
        <v>50-59 ans</v>
      </c>
      <c r="B10" s="20">
        <v>27948</v>
      </c>
      <c r="C10" s="20">
        <v>22867</v>
      </c>
      <c r="D10" s="20">
        <v>3561</v>
      </c>
      <c r="E10" s="20">
        <v>360</v>
      </c>
      <c r="F10" s="20">
        <v>172</v>
      </c>
      <c r="G10" s="25">
        <v>988</v>
      </c>
    </row>
    <row r="11" spans="1:7" ht="11.25">
      <c r="A11" s="43" t="str">
        <f>_xlfn.COMPOUNDVALUE(36)</f>
        <v>60-69 ans</v>
      </c>
      <c r="B11" s="20">
        <v>15936</v>
      </c>
      <c r="C11" s="20">
        <v>12866</v>
      </c>
      <c r="D11" s="20">
        <v>2291</v>
      </c>
      <c r="E11" s="20">
        <v>82</v>
      </c>
      <c r="F11" s="20">
        <v>90</v>
      </c>
      <c r="G11" s="25">
        <v>607</v>
      </c>
    </row>
    <row r="12" spans="1:7" ht="11.25">
      <c r="A12" s="43" t="str">
        <f>_xlfn.COMPOUNDVALUE(37)</f>
        <v>70-79 ans</v>
      </c>
      <c r="B12" s="20">
        <v>8349</v>
      </c>
      <c r="C12" s="20">
        <v>7154</v>
      </c>
      <c r="D12" s="20">
        <v>809</v>
      </c>
      <c r="E12" s="20">
        <v>18</v>
      </c>
      <c r="F12" s="20">
        <v>37</v>
      </c>
      <c r="G12" s="25">
        <v>331</v>
      </c>
    </row>
    <row r="13" spans="1:7" ht="11.25">
      <c r="A13" s="26" t="str">
        <f>_xlfn.COMPOUNDVALUE(47)</f>
        <v>80 ans et plus</v>
      </c>
      <c r="B13" s="44">
        <v>2833</v>
      </c>
      <c r="C13" s="44">
        <v>2395</v>
      </c>
      <c r="D13" s="44">
        <v>318</v>
      </c>
      <c r="E13" s="44">
        <v>9</v>
      </c>
      <c r="F13" s="44">
        <v>15</v>
      </c>
      <c r="G13" s="27">
        <v>96</v>
      </c>
    </row>
    <row r="14" ht="11.25">
      <c r="G14" s="29" t="s">
        <v>37</v>
      </c>
    </row>
    <row r="16" spans="1:7" ht="11.25">
      <c r="A16" s="45"/>
      <c r="B16" s="46"/>
      <c r="C16" s="86" t="s">
        <v>61</v>
      </c>
      <c r="D16" s="86"/>
      <c r="E16" s="86"/>
      <c r="F16" s="86"/>
      <c r="G16" s="79"/>
    </row>
    <row r="17" spans="1:7" ht="22.5">
      <c r="A17" s="47" t="s">
        <v>74</v>
      </c>
      <c r="B17" s="37" t="str">
        <f>_xlfn.COMPOUNDVALUE(28)</f>
        <v>Ensemble</v>
      </c>
      <c r="C17" s="38" t="str">
        <f>_xlfn.COMPOUNDVALUE(1)</f>
        <v>Polynésie française</v>
      </c>
      <c r="D17" s="38" t="str">
        <f>_xlfn.COMPOUNDVALUE(2)</f>
        <v>Métropole</v>
      </c>
      <c r="E17" s="38" t="str">
        <f>_xlfn.COMPOUNDVALUE(3)</f>
        <v>Nlle Cal.
Wallis</v>
      </c>
      <c r="F17" s="38" t="s">
        <v>64</v>
      </c>
      <c r="G17" s="39" t="str">
        <f>_xlfn.COMPOUNDVALUE(5)</f>
        <v>Etranger</v>
      </c>
    </row>
    <row r="18" spans="1:7" ht="11.25">
      <c r="A18" s="22" t="str">
        <f>_xlfn.COMPOUNDVALUE(38)</f>
        <v>Ensemble</v>
      </c>
      <c r="B18" s="41">
        <v>268207</v>
      </c>
      <c r="C18" s="41">
        <v>237837</v>
      </c>
      <c r="D18" s="41">
        <v>22273</v>
      </c>
      <c r="E18" s="41">
        <v>2576</v>
      </c>
      <c r="F18" s="41">
        <v>980</v>
      </c>
      <c r="G18" s="42">
        <v>4541</v>
      </c>
    </row>
    <row r="19" spans="1:7" ht="11.25">
      <c r="A19" s="24" t="str">
        <f>_xlfn.COMPOUNDVALUE(39)</f>
        <v>Agriculteurs exploitants</v>
      </c>
      <c r="B19" s="20">
        <v>5047</v>
      </c>
      <c r="C19" s="20">
        <v>4885</v>
      </c>
      <c r="D19" s="20">
        <v>82</v>
      </c>
      <c r="E19" s="20">
        <v>38</v>
      </c>
      <c r="F19" s="20">
        <v>2</v>
      </c>
      <c r="G19" s="25">
        <v>40</v>
      </c>
    </row>
    <row r="20" spans="1:7" ht="11.25">
      <c r="A20" s="24" t="str">
        <f>_xlfn.COMPOUNDVALUE(40)</f>
        <v>Artisans, commerçants et chefs d'entreprise</v>
      </c>
      <c r="B20" s="20">
        <v>9883</v>
      </c>
      <c r="C20" s="20">
        <v>7101</v>
      </c>
      <c r="D20" s="20">
        <v>2062</v>
      </c>
      <c r="E20" s="20">
        <v>187</v>
      </c>
      <c r="F20" s="20">
        <v>67</v>
      </c>
      <c r="G20" s="25">
        <v>466</v>
      </c>
    </row>
    <row r="21" spans="1:7" ht="11.25">
      <c r="A21" s="24" t="str">
        <f>_xlfn.COMPOUNDVALUE(41)</f>
        <v>Cadres et professions intellectuelles supérieures</v>
      </c>
      <c r="B21" s="20">
        <v>7782</v>
      </c>
      <c r="C21" s="20">
        <v>3302</v>
      </c>
      <c r="D21" s="20">
        <v>3740</v>
      </c>
      <c r="E21" s="20">
        <v>100</v>
      </c>
      <c r="F21" s="20">
        <v>94</v>
      </c>
      <c r="G21" s="25">
        <v>546</v>
      </c>
    </row>
    <row r="22" spans="1:7" ht="11.25">
      <c r="A22" s="24" t="str">
        <f>_xlfn.COMPOUNDVALUE(42)</f>
        <v>Professions intermédiaires</v>
      </c>
      <c r="B22" s="20">
        <v>14013</v>
      </c>
      <c r="C22" s="20">
        <v>9331</v>
      </c>
      <c r="D22" s="20">
        <v>3876</v>
      </c>
      <c r="E22" s="20">
        <v>253</v>
      </c>
      <c r="F22" s="20">
        <v>118</v>
      </c>
      <c r="G22" s="25">
        <v>435</v>
      </c>
    </row>
    <row r="23" spans="1:7" ht="11.25">
      <c r="A23" s="24" t="str">
        <f>_xlfn.COMPOUNDVALUE(43)</f>
        <v>Employés</v>
      </c>
      <c r="B23" s="20">
        <v>29764</v>
      </c>
      <c r="C23" s="20">
        <v>26473</v>
      </c>
      <c r="D23" s="20">
        <v>2162</v>
      </c>
      <c r="E23" s="20">
        <v>539</v>
      </c>
      <c r="F23" s="20">
        <v>94</v>
      </c>
      <c r="G23" s="25">
        <v>496</v>
      </c>
    </row>
    <row r="24" spans="1:7" ht="11.25">
      <c r="A24" s="24" t="str">
        <f>_xlfn.COMPOUNDVALUE(44)</f>
        <v>Ouvriers</v>
      </c>
      <c r="B24" s="20">
        <v>22681</v>
      </c>
      <c r="C24" s="20">
        <v>21098</v>
      </c>
      <c r="D24" s="20">
        <v>838</v>
      </c>
      <c r="E24" s="20">
        <v>384</v>
      </c>
      <c r="F24" s="20">
        <v>52</v>
      </c>
      <c r="G24" s="25">
        <v>309</v>
      </c>
    </row>
    <row r="25" spans="1:7" ht="11.25">
      <c r="A25" s="24" t="str">
        <f>_xlfn.COMPOUNDVALUE(45)</f>
        <v>Retraités</v>
      </c>
      <c r="B25" s="20">
        <v>27547</v>
      </c>
      <c r="C25" s="20">
        <v>23264</v>
      </c>
      <c r="D25" s="20">
        <v>3080</v>
      </c>
      <c r="E25" s="20">
        <v>169</v>
      </c>
      <c r="F25" s="20">
        <v>135</v>
      </c>
      <c r="G25" s="25">
        <v>899</v>
      </c>
    </row>
    <row r="26" spans="1:7" ht="11.25">
      <c r="A26" s="26" t="str">
        <f>_xlfn.COMPOUNDVALUE(46)</f>
        <v>Autres personnes sans activité professionnelle</v>
      </c>
      <c r="B26" s="44">
        <v>151490</v>
      </c>
      <c r="C26" s="44">
        <v>142383</v>
      </c>
      <c r="D26" s="44">
        <v>6433</v>
      </c>
      <c r="E26" s="44">
        <v>906</v>
      </c>
      <c r="F26" s="44">
        <v>418</v>
      </c>
      <c r="G26" s="27">
        <v>1350</v>
      </c>
    </row>
    <row r="27" ht="11.25">
      <c r="G27" s="29" t="s">
        <v>37</v>
      </c>
    </row>
    <row r="29" ht="11.25" customHeight="1"/>
    <row r="36" ht="12.75" customHeight="1"/>
    <row r="37" ht="18.75" customHeight="1"/>
    <row r="53" ht="31.5" customHeight="1"/>
    <row r="55" ht="53.25" customHeight="1"/>
    <row r="64" ht="48" customHeight="1"/>
    <row r="76" ht="48" customHeight="1"/>
  </sheetData>
  <sheetProtection/>
  <mergeCells count="3">
    <mergeCell ref="A1:G1"/>
    <mergeCell ref="C2:G2"/>
    <mergeCell ref="C16:G1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headerFooter>
    <oddFooter>&amp;LMigrations  &amp;P /&amp;N&amp;R&amp;G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0"/>
  <sheetViews>
    <sheetView showGridLines="0" zoomScalePageLayoutView="0" workbookViewId="0" topLeftCell="A13">
      <selection activeCell="J39" sqref="J39"/>
    </sheetView>
  </sheetViews>
  <sheetFormatPr defaultColWidth="12" defaultRowHeight="11.25"/>
  <cols>
    <col min="1" max="1" width="39.83203125" style="21" customWidth="1"/>
    <col min="2" max="2" width="10.83203125" style="21" customWidth="1"/>
    <col min="3" max="10" width="12" style="21" customWidth="1"/>
    <col min="11" max="11" width="10.83203125" style="21" customWidth="1"/>
    <col min="12" max="12" width="10" style="21" customWidth="1"/>
    <col min="13" max="13" width="16.83203125" style="21" customWidth="1"/>
    <col min="14" max="14" width="11.83203125" style="21" customWidth="1"/>
    <col min="15" max="15" width="11.16015625" style="21" customWidth="1"/>
    <col min="16" max="16384" width="12" style="21" customWidth="1"/>
  </cols>
  <sheetData>
    <row r="1" spans="1:10" ht="27" customHeight="1">
      <c r="A1" s="85" t="s">
        <v>6</v>
      </c>
      <c r="B1" s="85"/>
      <c r="C1" s="85"/>
      <c r="D1" s="85"/>
      <c r="E1" s="85"/>
      <c r="F1" s="85"/>
      <c r="G1" s="85"/>
      <c r="H1" s="85"/>
      <c r="I1" s="20"/>
      <c r="J1" s="20"/>
    </row>
    <row r="2" spans="1:10" ht="11.25">
      <c r="A2" s="45"/>
      <c r="B2" s="46"/>
      <c r="C2" s="78" t="s">
        <v>83</v>
      </c>
      <c r="D2" s="86"/>
      <c r="E2" s="86"/>
      <c r="F2" s="86"/>
      <c r="G2" s="86"/>
      <c r="H2" s="79"/>
      <c r="I2" s="20"/>
      <c r="J2" s="20"/>
    </row>
    <row r="3" spans="1:10" ht="45">
      <c r="A3" s="78" t="s">
        <v>84</v>
      </c>
      <c r="B3" s="86" t="str">
        <f>_xlfn.COMPOUNDVALUE(28)</f>
        <v>Ensemble</v>
      </c>
      <c r="C3" s="38" t="s">
        <v>85</v>
      </c>
      <c r="D3" s="38" t="str">
        <f>_xlfn.COMPOUNDVALUE(14)</f>
        <v>Même logement</v>
      </c>
      <c r="E3" s="38" t="str">
        <f>_xlfn.COMPOUNDVALUE(15)</f>
        <v>Autre logement, même commune</v>
      </c>
      <c r="F3" s="38" t="str">
        <f>_xlfn.COMPOUNDVALUE(16)</f>
        <v>Autre commune, même subdivision</v>
      </c>
      <c r="G3" s="38" t="str">
        <f>_xlfn.COMPOUNDVALUE(17)</f>
        <v>Autre subdivision</v>
      </c>
      <c r="H3" s="39" t="str">
        <f>_xlfn.COMPOUNDVALUE(18)</f>
        <v>Hors Polynésie française</v>
      </c>
      <c r="I3" s="20"/>
      <c r="J3" s="20"/>
    </row>
    <row r="4" spans="1:8" ht="11.25">
      <c r="A4" s="22" t="str">
        <f>_xlfn.COMPOUNDVALUE(29)</f>
        <v>Ensemble</v>
      </c>
      <c r="B4" s="41">
        <v>268207</v>
      </c>
      <c r="C4" s="41">
        <v>22341</v>
      </c>
      <c r="D4" s="41">
        <v>176218</v>
      </c>
      <c r="E4" s="41">
        <v>23661</v>
      </c>
      <c r="F4" s="41">
        <v>24155</v>
      </c>
      <c r="G4" s="41">
        <v>11210</v>
      </c>
      <c r="H4" s="42">
        <v>10622</v>
      </c>
    </row>
    <row r="5" spans="1:8" ht="11.25">
      <c r="A5" s="24" t="str">
        <f>_xlfn.COMPOUNDVALUE(30)</f>
        <v>Moins de 10 ans</v>
      </c>
      <c r="B5" s="20">
        <v>42322</v>
      </c>
      <c r="C5" s="20">
        <v>21913</v>
      </c>
      <c r="D5" s="20">
        <v>14215</v>
      </c>
      <c r="E5" s="20">
        <v>2305</v>
      </c>
      <c r="F5" s="20">
        <v>1994</v>
      </c>
      <c r="G5" s="20">
        <v>874</v>
      </c>
      <c r="H5" s="25">
        <v>1021</v>
      </c>
    </row>
    <row r="6" spans="1:8" ht="11.25">
      <c r="A6" s="24" t="str">
        <f>_xlfn.COMPOUNDVALUE(31)</f>
        <v>10-19 ans</v>
      </c>
      <c r="B6" s="20">
        <v>46394</v>
      </c>
      <c r="C6" s="20">
        <v>3</v>
      </c>
      <c r="D6" s="20">
        <v>34368</v>
      </c>
      <c r="E6" s="20">
        <v>4283</v>
      </c>
      <c r="F6" s="20">
        <v>4122</v>
      </c>
      <c r="G6" s="20">
        <v>2128</v>
      </c>
      <c r="H6" s="25">
        <v>1490</v>
      </c>
    </row>
    <row r="7" spans="1:8" ht="11.25">
      <c r="A7" s="24" t="str">
        <f>_xlfn.COMPOUNDVALUE(32)</f>
        <v>20-29 ans</v>
      </c>
      <c r="B7" s="20">
        <v>45071</v>
      </c>
      <c r="C7" s="20">
        <v>129</v>
      </c>
      <c r="D7" s="20">
        <v>28073</v>
      </c>
      <c r="E7" s="20">
        <v>5415</v>
      </c>
      <c r="F7" s="20">
        <v>6122</v>
      </c>
      <c r="G7" s="20">
        <v>3555</v>
      </c>
      <c r="H7" s="25">
        <v>1777</v>
      </c>
    </row>
    <row r="8" spans="1:8" ht="11.25">
      <c r="A8" s="24" t="str">
        <f>_xlfn.COMPOUNDVALUE(33)</f>
        <v>30-39 ans</v>
      </c>
      <c r="B8" s="20">
        <v>39928</v>
      </c>
      <c r="C8" s="20">
        <v>125</v>
      </c>
      <c r="D8" s="20">
        <v>24892</v>
      </c>
      <c r="E8" s="20">
        <v>5026</v>
      </c>
      <c r="F8" s="20">
        <v>5350</v>
      </c>
      <c r="G8" s="20">
        <v>1867</v>
      </c>
      <c r="H8" s="25">
        <v>2668</v>
      </c>
    </row>
    <row r="9" spans="1:8" ht="11.25">
      <c r="A9" s="24" t="str">
        <f>_xlfn.COMPOUNDVALUE(34)</f>
        <v>40-49 ans</v>
      </c>
      <c r="B9" s="20">
        <v>39426</v>
      </c>
      <c r="C9" s="20">
        <v>113</v>
      </c>
      <c r="D9" s="20">
        <v>28907</v>
      </c>
      <c r="E9" s="20">
        <v>3552</v>
      </c>
      <c r="F9" s="20">
        <v>3501</v>
      </c>
      <c r="G9" s="20">
        <v>1300</v>
      </c>
      <c r="H9" s="25">
        <v>2053</v>
      </c>
    </row>
    <row r="10" spans="1:8" ht="11.25">
      <c r="A10" s="24" t="str">
        <f>_xlfn.COMPOUNDVALUE(35)</f>
        <v>50-59 ans</v>
      </c>
      <c r="B10" s="20">
        <v>27948</v>
      </c>
      <c r="C10" s="20">
        <v>33</v>
      </c>
      <c r="D10" s="20">
        <v>22424</v>
      </c>
      <c r="E10" s="20">
        <v>1794</v>
      </c>
      <c r="F10" s="20">
        <v>1806</v>
      </c>
      <c r="G10" s="20">
        <v>794</v>
      </c>
      <c r="H10" s="25">
        <v>1097</v>
      </c>
    </row>
    <row r="11" spans="1:8" ht="11.25">
      <c r="A11" s="24" t="str">
        <f>_xlfn.COMPOUNDVALUE(36)</f>
        <v>60-69 ans</v>
      </c>
      <c r="B11" s="20">
        <v>15936</v>
      </c>
      <c r="C11" s="20">
        <v>20</v>
      </c>
      <c r="D11" s="20">
        <v>13472</v>
      </c>
      <c r="E11" s="20">
        <v>803</v>
      </c>
      <c r="F11" s="20">
        <v>823</v>
      </c>
      <c r="G11" s="20">
        <v>422</v>
      </c>
      <c r="H11" s="25">
        <v>396</v>
      </c>
    </row>
    <row r="12" spans="1:8" ht="11.25">
      <c r="A12" s="24" t="str">
        <f>_xlfn.COMPOUNDVALUE(37)</f>
        <v>70-79 ans</v>
      </c>
      <c r="B12" s="20">
        <v>8349</v>
      </c>
      <c r="C12" s="20">
        <v>5</v>
      </c>
      <c r="D12" s="20">
        <v>7399</v>
      </c>
      <c r="E12" s="20">
        <v>350</v>
      </c>
      <c r="F12" s="20">
        <v>312</v>
      </c>
      <c r="G12" s="20">
        <v>209</v>
      </c>
      <c r="H12" s="25">
        <v>74</v>
      </c>
    </row>
    <row r="13" spans="1:8" ht="11.25">
      <c r="A13" s="48" t="str">
        <f>_xlfn.COMPOUNDVALUE(47)</f>
        <v>80 ans et plus</v>
      </c>
      <c r="B13" s="44">
        <v>2833</v>
      </c>
      <c r="C13" s="44">
        <v>0</v>
      </c>
      <c r="D13" s="44">
        <v>2468</v>
      </c>
      <c r="E13" s="44">
        <v>133</v>
      </c>
      <c r="F13" s="44">
        <v>125</v>
      </c>
      <c r="G13" s="44">
        <v>61</v>
      </c>
      <c r="H13" s="27">
        <v>46</v>
      </c>
    </row>
    <row r="14" spans="1:8" ht="11.25">
      <c r="A14" s="28"/>
      <c r="B14" s="49"/>
      <c r="C14" s="49"/>
      <c r="D14" s="49"/>
      <c r="E14" s="49"/>
      <c r="F14" s="49"/>
      <c r="G14" s="49"/>
      <c r="H14" s="29" t="s">
        <v>37</v>
      </c>
    </row>
    <row r="15" spans="1:5" ht="11.25">
      <c r="A15" s="50"/>
      <c r="B15" s="51"/>
      <c r="C15" s="51"/>
      <c r="D15" s="51"/>
      <c r="E15" s="51"/>
    </row>
    <row r="16" spans="1:8" ht="11.25">
      <c r="A16" s="45"/>
      <c r="B16" s="46"/>
      <c r="C16" s="78" t="s">
        <v>83</v>
      </c>
      <c r="D16" s="86"/>
      <c r="E16" s="86"/>
      <c r="F16" s="86"/>
      <c r="G16" s="86"/>
      <c r="H16" s="79"/>
    </row>
    <row r="17" spans="1:8" ht="45">
      <c r="A17" s="52" t="s">
        <v>86</v>
      </c>
      <c r="B17" s="37" t="str">
        <f>_xlfn.COMPOUNDVALUE(28)</f>
        <v>Ensemble</v>
      </c>
      <c r="C17" s="38" t="str">
        <f>_xlfn.COMPOUNDVALUE(48)</f>
        <v>Né après le 30/10/2002 ou détenu</v>
      </c>
      <c r="D17" s="38" t="str">
        <f>_xlfn.COMPOUNDVALUE(14)</f>
        <v>Même logement</v>
      </c>
      <c r="E17" s="38" t="str">
        <f>_xlfn.COMPOUNDVALUE(15)</f>
        <v>Autre logement, même commune</v>
      </c>
      <c r="F17" s="38" t="str">
        <f>_xlfn.COMPOUNDVALUE(16)</f>
        <v>Autre commune, même subdivision</v>
      </c>
      <c r="G17" s="38" t="str">
        <f>_xlfn.COMPOUNDVALUE(17)</f>
        <v>Autre subdivision</v>
      </c>
      <c r="H17" s="39" t="str">
        <f>_xlfn.COMPOUNDVALUE(18)</f>
        <v>Hors Polynésie française</v>
      </c>
    </row>
    <row r="18" spans="1:8" ht="11.25">
      <c r="A18" s="22" t="str">
        <f>_xlfn.COMPOUNDVALUE(38)</f>
        <v>Ensemble</v>
      </c>
      <c r="B18" s="41">
        <v>268207</v>
      </c>
      <c r="C18" s="41">
        <v>22341</v>
      </c>
      <c r="D18" s="41">
        <v>176218</v>
      </c>
      <c r="E18" s="41">
        <v>23661</v>
      </c>
      <c r="F18" s="41">
        <v>24155</v>
      </c>
      <c r="G18" s="41">
        <v>11210</v>
      </c>
      <c r="H18" s="42">
        <v>10622</v>
      </c>
    </row>
    <row r="19" spans="1:8" ht="11.25">
      <c r="A19" s="30" t="str">
        <f>_xlfn.COMPOUNDVALUE(39)</f>
        <v>Agriculteurs exploitants</v>
      </c>
      <c r="B19" s="20">
        <v>5047</v>
      </c>
      <c r="C19" s="20">
        <v>0</v>
      </c>
      <c r="D19" s="20">
        <v>3875</v>
      </c>
      <c r="E19" s="20">
        <v>572</v>
      </c>
      <c r="F19" s="20">
        <v>185</v>
      </c>
      <c r="G19" s="20">
        <v>387</v>
      </c>
      <c r="H19" s="25">
        <v>28</v>
      </c>
    </row>
    <row r="20" spans="1:8" ht="11.25">
      <c r="A20" s="30" t="str">
        <f>_xlfn.COMPOUNDVALUE(40)</f>
        <v>Artisans, commerçants et chefs d'entreprise</v>
      </c>
      <c r="B20" s="20">
        <v>9883</v>
      </c>
      <c r="C20" s="20">
        <v>0</v>
      </c>
      <c r="D20" s="20">
        <v>6797</v>
      </c>
      <c r="E20" s="20">
        <v>1176</v>
      </c>
      <c r="F20" s="20">
        <v>1151</v>
      </c>
      <c r="G20" s="20">
        <v>345</v>
      </c>
      <c r="H20" s="25">
        <v>414</v>
      </c>
    </row>
    <row r="21" spans="1:8" ht="11.25">
      <c r="A21" s="30" t="str">
        <f>_xlfn.COMPOUNDVALUE(41)</f>
        <v>Cadres et professions intellectuelles supérieures</v>
      </c>
      <c r="B21" s="20">
        <v>7782</v>
      </c>
      <c r="C21" s="20">
        <v>0</v>
      </c>
      <c r="D21" s="20">
        <v>3654</v>
      </c>
      <c r="E21" s="20">
        <v>836</v>
      </c>
      <c r="F21" s="20">
        <v>1340</v>
      </c>
      <c r="G21" s="20">
        <v>207</v>
      </c>
      <c r="H21" s="25">
        <v>1745</v>
      </c>
    </row>
    <row r="22" spans="1:8" ht="11.25">
      <c r="A22" s="30" t="str">
        <f>_xlfn.COMPOUNDVALUE(42)</f>
        <v>Professions intermédiaires</v>
      </c>
      <c r="B22" s="20">
        <v>14013</v>
      </c>
      <c r="C22" s="20">
        <v>0</v>
      </c>
      <c r="D22" s="20">
        <v>7530</v>
      </c>
      <c r="E22" s="20">
        <v>1592</v>
      </c>
      <c r="F22" s="20">
        <v>2379</v>
      </c>
      <c r="G22" s="20">
        <v>717</v>
      </c>
      <c r="H22" s="25">
        <v>1795</v>
      </c>
    </row>
    <row r="23" spans="1:8" ht="11.25">
      <c r="A23" s="30" t="str">
        <f>_xlfn.COMPOUNDVALUE(43)</f>
        <v>Employés</v>
      </c>
      <c r="B23" s="20">
        <v>29764</v>
      </c>
      <c r="C23" s="20">
        <v>0</v>
      </c>
      <c r="D23" s="20">
        <v>20326</v>
      </c>
      <c r="E23" s="20">
        <v>3345</v>
      </c>
      <c r="F23" s="20">
        <v>3777</v>
      </c>
      <c r="G23" s="20">
        <v>1042</v>
      </c>
      <c r="H23" s="25">
        <v>1274</v>
      </c>
    </row>
    <row r="24" spans="1:8" ht="11.25">
      <c r="A24" s="30" t="str">
        <f>_xlfn.COMPOUNDVALUE(44)</f>
        <v>Ouvriers</v>
      </c>
      <c r="B24" s="20">
        <v>22681</v>
      </c>
      <c r="C24" s="20">
        <v>0</v>
      </c>
      <c r="D24" s="20">
        <v>16448</v>
      </c>
      <c r="E24" s="20">
        <v>2504</v>
      </c>
      <c r="F24" s="20">
        <v>2294</v>
      </c>
      <c r="G24" s="20">
        <v>1066</v>
      </c>
      <c r="H24" s="25">
        <v>369</v>
      </c>
    </row>
    <row r="25" spans="1:8" ht="12.75" customHeight="1">
      <c r="A25" s="30" t="str">
        <f>_xlfn.COMPOUNDVALUE(45)</f>
        <v>Retraités</v>
      </c>
      <c r="B25" s="20">
        <v>27547</v>
      </c>
      <c r="C25" s="20">
        <v>0</v>
      </c>
      <c r="D25" s="20">
        <v>23448</v>
      </c>
      <c r="E25" s="20">
        <v>1330</v>
      </c>
      <c r="F25" s="20">
        <v>1416</v>
      </c>
      <c r="G25" s="20">
        <v>852</v>
      </c>
      <c r="H25" s="25">
        <v>501</v>
      </c>
    </row>
    <row r="26" spans="1:8" ht="11.25">
      <c r="A26" s="48" t="str">
        <f>_xlfn.COMPOUNDVALUE(46)</f>
        <v>Autres personnes sans activité professionnelle</v>
      </c>
      <c r="B26" s="44">
        <v>151490</v>
      </c>
      <c r="C26" s="44">
        <v>22341</v>
      </c>
      <c r="D26" s="44">
        <v>94140</v>
      </c>
      <c r="E26" s="44">
        <v>12306</v>
      </c>
      <c r="F26" s="44">
        <v>11613</v>
      </c>
      <c r="G26" s="44">
        <v>6594</v>
      </c>
      <c r="H26" s="27">
        <v>4496</v>
      </c>
    </row>
    <row r="27" spans="1:8" ht="11.25">
      <c r="A27" s="53"/>
      <c r="B27" s="49"/>
      <c r="C27" s="49"/>
      <c r="D27" s="49"/>
      <c r="E27" s="49"/>
      <c r="F27" s="49"/>
      <c r="G27" s="49"/>
      <c r="H27" s="54" t="s">
        <v>37</v>
      </c>
    </row>
    <row r="28" spans="1:5" ht="11.25">
      <c r="A28" s="50"/>
      <c r="B28" s="51"/>
      <c r="C28" s="51"/>
      <c r="D28" s="51"/>
      <c r="E28" s="51"/>
    </row>
    <row r="29" spans="1:8" ht="11.25">
      <c r="A29" s="45"/>
      <c r="B29" s="46"/>
      <c r="C29" s="78" t="s">
        <v>83</v>
      </c>
      <c r="D29" s="86"/>
      <c r="E29" s="86"/>
      <c r="F29" s="86"/>
      <c r="G29" s="86"/>
      <c r="H29" s="79"/>
    </row>
    <row r="30" spans="1:15" ht="33.75">
      <c r="A30" s="52" t="s">
        <v>88</v>
      </c>
      <c r="B30" s="37" t="s">
        <v>31</v>
      </c>
      <c r="C30" s="38" t="str">
        <f>_xlfn.COMPOUNDVALUE(49)</f>
        <v>Né après le 30/10/2002 ou détenu</v>
      </c>
      <c r="D30" s="38" t="s">
        <v>89</v>
      </c>
      <c r="E30" s="38" t="s">
        <v>90</v>
      </c>
      <c r="F30" s="38" t="s">
        <v>91</v>
      </c>
      <c r="G30" s="38" t="s">
        <v>92</v>
      </c>
      <c r="H30" s="39" t="s">
        <v>93</v>
      </c>
      <c r="K30"/>
      <c r="L30"/>
      <c r="M30"/>
      <c r="N30"/>
      <c r="O30"/>
    </row>
    <row r="31" spans="1:15" ht="11.25">
      <c r="A31" s="22" t="s">
        <v>94</v>
      </c>
      <c r="B31" s="41">
        <v>268207</v>
      </c>
      <c r="C31" s="41">
        <v>22341</v>
      </c>
      <c r="D31" s="41">
        <v>224034</v>
      </c>
      <c r="E31" s="41">
        <v>11210</v>
      </c>
      <c r="F31" s="41">
        <v>11210</v>
      </c>
      <c r="G31" s="41">
        <v>0</v>
      </c>
      <c r="H31" s="42">
        <v>10622</v>
      </c>
      <c r="K31"/>
      <c r="L31"/>
      <c r="M31"/>
      <c r="N31"/>
      <c r="O31"/>
    </row>
    <row r="32" spans="1:15" ht="11.25">
      <c r="A32" s="30" t="str">
        <f>_xlfn.COMPOUNDVALUE(50)</f>
        <v>Iles Du Vent</v>
      </c>
      <c r="B32" s="20">
        <v>200714</v>
      </c>
      <c r="C32" s="20">
        <v>16413</v>
      </c>
      <c r="D32" s="20">
        <v>170412</v>
      </c>
      <c r="E32" s="20">
        <v>5013</v>
      </c>
      <c r="F32" s="20">
        <v>5484</v>
      </c>
      <c r="G32" s="20">
        <v>-471</v>
      </c>
      <c r="H32" s="25">
        <v>8876</v>
      </c>
      <c r="K32"/>
      <c r="L32"/>
      <c r="M32"/>
      <c r="N32"/>
      <c r="O32"/>
    </row>
    <row r="33" spans="1:15" ht="11.25">
      <c r="A33" s="30" t="str">
        <f>_xlfn.COMPOUNDVALUE(51)</f>
        <v>Iles Sous-Le-Vent</v>
      </c>
      <c r="B33" s="20">
        <v>34581</v>
      </c>
      <c r="C33" s="20">
        <v>2978</v>
      </c>
      <c r="D33" s="20">
        <v>28247</v>
      </c>
      <c r="E33" s="20">
        <v>2283</v>
      </c>
      <c r="F33" s="20">
        <v>2257</v>
      </c>
      <c r="G33" s="20">
        <v>26</v>
      </c>
      <c r="H33" s="25">
        <v>1073</v>
      </c>
      <c r="K33"/>
      <c r="L33"/>
      <c r="M33"/>
      <c r="N33"/>
      <c r="O33"/>
    </row>
    <row r="34" spans="1:15" ht="11.25">
      <c r="A34" s="30" t="str">
        <f>_xlfn.COMPOUNDVALUE(52)</f>
        <v>Marquises</v>
      </c>
      <c r="B34" s="20">
        <v>9261</v>
      </c>
      <c r="C34" s="20">
        <v>897</v>
      </c>
      <c r="D34" s="20">
        <v>7338</v>
      </c>
      <c r="E34" s="20">
        <v>819</v>
      </c>
      <c r="F34" s="20">
        <v>761</v>
      </c>
      <c r="G34" s="20">
        <v>58</v>
      </c>
      <c r="H34" s="25">
        <v>207</v>
      </c>
      <c r="K34"/>
      <c r="L34"/>
      <c r="M34"/>
      <c r="N34"/>
      <c r="O34"/>
    </row>
    <row r="35" spans="1:15" ht="11.25">
      <c r="A35" s="30" t="str">
        <f>_xlfn.COMPOUNDVALUE(53)</f>
        <v>Australes</v>
      </c>
      <c r="B35" s="20">
        <v>6820</v>
      </c>
      <c r="C35" s="20">
        <v>615</v>
      </c>
      <c r="D35" s="20">
        <v>5195</v>
      </c>
      <c r="E35" s="20">
        <v>873</v>
      </c>
      <c r="F35" s="20">
        <v>719</v>
      </c>
      <c r="G35" s="20">
        <v>154</v>
      </c>
      <c r="H35" s="25">
        <v>137</v>
      </c>
      <c r="K35"/>
      <c r="L35"/>
      <c r="M35"/>
      <c r="N35"/>
      <c r="O35"/>
    </row>
    <row r="36" spans="1:15" ht="11.25">
      <c r="A36" s="48" t="str">
        <f>_xlfn.COMPOUNDVALUE(54)</f>
        <v>Tuamotu-Gambier</v>
      </c>
      <c r="B36" s="44">
        <v>16831</v>
      </c>
      <c r="C36" s="44">
        <v>1438</v>
      </c>
      <c r="D36" s="44">
        <v>12842</v>
      </c>
      <c r="E36" s="44">
        <v>2222</v>
      </c>
      <c r="F36" s="44">
        <v>1989</v>
      </c>
      <c r="G36" s="44">
        <v>233</v>
      </c>
      <c r="H36" s="27">
        <v>329</v>
      </c>
      <c r="K36"/>
      <c r="L36"/>
      <c r="M36"/>
      <c r="N36"/>
      <c r="O36"/>
    </row>
    <row r="37" spans="1:15" ht="11.25">
      <c r="A37" s="50"/>
      <c r="B37" s="51"/>
      <c r="C37" s="55"/>
      <c r="D37" s="55"/>
      <c r="E37" s="55"/>
      <c r="F37" s="56"/>
      <c r="G37" s="56"/>
      <c r="H37" s="54" t="s">
        <v>37</v>
      </c>
      <c r="K37"/>
      <c r="L37"/>
      <c r="M37"/>
      <c r="N37"/>
      <c r="O37"/>
    </row>
    <row r="38" spans="1:15" ht="11.25">
      <c r="A38" s="50"/>
      <c r="B38" s="51"/>
      <c r="C38" s="51"/>
      <c r="D38" s="51"/>
      <c r="E38" s="51"/>
      <c r="K38"/>
      <c r="L38"/>
      <c r="M38"/>
      <c r="N38"/>
      <c r="O38"/>
    </row>
    <row r="39" spans="1:15" ht="11.25">
      <c r="A39" s="50"/>
      <c r="B39" s="51"/>
      <c r="C39" s="51"/>
      <c r="D39" s="51"/>
      <c r="E39" s="51"/>
      <c r="K39"/>
      <c r="L39"/>
      <c r="M39"/>
      <c r="N39"/>
      <c r="O39"/>
    </row>
    <row r="40" spans="1:15" ht="11.25">
      <c r="A40" s="50"/>
      <c r="B40" s="51"/>
      <c r="C40" s="51"/>
      <c r="D40" s="51"/>
      <c r="E40" s="51"/>
      <c r="K40"/>
      <c r="L40"/>
      <c r="M40"/>
      <c r="N40"/>
      <c r="O40"/>
    </row>
    <row r="41" spans="1:15" ht="11.25" customHeight="1">
      <c r="A41" s="50"/>
      <c r="B41" s="51"/>
      <c r="C41" s="51"/>
      <c r="D41" s="51"/>
      <c r="E41" s="51"/>
      <c r="K41"/>
      <c r="L41"/>
      <c r="M41"/>
      <c r="N41"/>
      <c r="O41"/>
    </row>
    <row r="42" spans="1:15" ht="11.25">
      <c r="A42" s="50"/>
      <c r="B42" s="51"/>
      <c r="C42" s="51"/>
      <c r="D42" s="51"/>
      <c r="E42" s="51"/>
      <c r="K42"/>
      <c r="L42"/>
      <c r="M42"/>
      <c r="N42"/>
      <c r="O42"/>
    </row>
    <row r="43" spans="1:15" ht="11.25">
      <c r="A43" s="50"/>
      <c r="B43" s="51">
        <v>0</v>
      </c>
      <c r="C43" s="51"/>
      <c r="D43" s="51"/>
      <c r="E43" s="51"/>
      <c r="K43"/>
      <c r="L43"/>
      <c r="M43"/>
      <c r="N43"/>
      <c r="O43"/>
    </row>
    <row r="44" spans="1:15" ht="11.25">
      <c r="A44" s="50"/>
      <c r="B44" s="51"/>
      <c r="C44" s="51"/>
      <c r="D44" s="51"/>
      <c r="E44" s="51"/>
      <c r="K44"/>
      <c r="L44"/>
      <c r="M44"/>
      <c r="N44"/>
      <c r="O44"/>
    </row>
    <row r="45" spans="1:15" ht="11.25">
      <c r="A45" s="50"/>
      <c r="B45" s="51"/>
      <c r="C45" s="51"/>
      <c r="D45" s="51"/>
      <c r="E45" s="51"/>
      <c r="K45"/>
      <c r="L45"/>
      <c r="M45"/>
      <c r="N45"/>
      <c r="O45"/>
    </row>
    <row r="46" spans="1:15" ht="11.25">
      <c r="A46" s="50"/>
      <c r="B46" s="51"/>
      <c r="C46" s="51"/>
      <c r="D46" s="51"/>
      <c r="E46" s="51"/>
      <c r="K46"/>
      <c r="L46"/>
      <c r="M46"/>
      <c r="N46"/>
      <c r="O46"/>
    </row>
    <row r="47" spans="1:15" ht="11.25">
      <c r="A47" s="50"/>
      <c r="B47" s="51"/>
      <c r="C47" s="51"/>
      <c r="D47" s="51"/>
      <c r="E47" s="51"/>
      <c r="K47"/>
      <c r="L47"/>
      <c r="M47"/>
      <c r="N47"/>
      <c r="O47"/>
    </row>
    <row r="48" spans="1:15" ht="11.25">
      <c r="A48" s="50"/>
      <c r="B48" s="51"/>
      <c r="C48" s="51"/>
      <c r="D48" s="51"/>
      <c r="E48" s="51"/>
      <c r="K48"/>
      <c r="L48"/>
      <c r="M48"/>
      <c r="N48"/>
      <c r="O48"/>
    </row>
    <row r="49" spans="1:15" ht="11.25">
      <c r="A49" s="50"/>
      <c r="B49" s="51"/>
      <c r="C49" s="51"/>
      <c r="D49" s="51"/>
      <c r="E49" s="51"/>
      <c r="K49"/>
      <c r="L49"/>
      <c r="M49"/>
      <c r="N49"/>
      <c r="O49"/>
    </row>
    <row r="50" spans="1:15" ht="11.25">
      <c r="A50" s="50"/>
      <c r="B50" s="51"/>
      <c r="C50" s="51"/>
      <c r="D50" s="51"/>
      <c r="E50" s="51"/>
      <c r="K50"/>
      <c r="L50"/>
      <c r="M50"/>
      <c r="N50"/>
      <c r="O50"/>
    </row>
    <row r="51" spans="1:15" ht="11.25">
      <c r="A51" s="50"/>
      <c r="B51" s="51"/>
      <c r="C51" s="51"/>
      <c r="D51" s="51"/>
      <c r="E51" s="51"/>
      <c r="K51"/>
      <c r="L51"/>
      <c r="M51"/>
      <c r="N51"/>
      <c r="O51"/>
    </row>
    <row r="52" spans="1:15" ht="11.25">
      <c r="A52" s="50"/>
      <c r="B52" s="51"/>
      <c r="C52" s="51"/>
      <c r="D52" s="51"/>
      <c r="E52" s="51"/>
      <c r="K52"/>
      <c r="L52"/>
      <c r="M52"/>
      <c r="N52"/>
      <c r="O52"/>
    </row>
    <row r="53" spans="1:15" ht="11.25">
      <c r="A53" s="50"/>
      <c r="B53" s="51"/>
      <c r="C53" s="51"/>
      <c r="D53" s="51"/>
      <c r="E53" s="51"/>
      <c r="K53"/>
      <c r="L53"/>
      <c r="M53"/>
      <c r="N53"/>
      <c r="O53"/>
    </row>
    <row r="54" spans="1:5" ht="11.25">
      <c r="A54" s="50"/>
      <c r="B54" s="51"/>
      <c r="C54" s="51"/>
      <c r="D54" s="51"/>
      <c r="E54" s="51"/>
    </row>
    <row r="55" spans="1:5" ht="11.25">
      <c r="A55" s="50"/>
      <c r="B55" s="51"/>
      <c r="C55" s="51"/>
      <c r="D55" s="51"/>
      <c r="E55" s="51"/>
    </row>
    <row r="56" spans="1:5" ht="11.25">
      <c r="A56" s="50"/>
      <c r="B56" s="51"/>
      <c r="C56" s="51"/>
      <c r="D56" s="51"/>
      <c r="E56" s="51"/>
    </row>
    <row r="57" spans="1:5" ht="11.25">
      <c r="A57" s="50"/>
      <c r="B57" s="51"/>
      <c r="C57" s="51"/>
      <c r="D57" s="51"/>
      <c r="E57" s="51"/>
    </row>
    <row r="58" spans="1:5" ht="11.25">
      <c r="A58" s="50"/>
      <c r="B58" s="51"/>
      <c r="C58" s="51"/>
      <c r="D58" s="51"/>
      <c r="E58" s="51"/>
    </row>
    <row r="59" spans="1:5" ht="11.25">
      <c r="A59" s="50"/>
      <c r="B59" s="51"/>
      <c r="C59" s="51"/>
      <c r="D59" s="51"/>
      <c r="E59" s="51"/>
    </row>
    <row r="60" spans="1:5" ht="11.25">
      <c r="A60" s="50"/>
      <c r="B60" s="51"/>
      <c r="C60" s="51"/>
      <c r="D60" s="51"/>
      <c r="E60" s="51"/>
    </row>
    <row r="61" spans="1:5" ht="11.25">
      <c r="A61" s="50"/>
      <c r="B61" s="51"/>
      <c r="C61" s="51"/>
      <c r="D61" s="51"/>
      <c r="E61" s="51"/>
    </row>
    <row r="62" spans="1:5" ht="11.25">
      <c r="A62" s="50"/>
      <c r="B62" s="51"/>
      <c r="C62" s="51"/>
      <c r="D62" s="51"/>
      <c r="E62" s="51"/>
    </row>
    <row r="63" spans="1:5" ht="11.25">
      <c r="A63" s="50"/>
      <c r="B63" s="51"/>
      <c r="C63" s="51"/>
      <c r="D63" s="51"/>
      <c r="E63" s="51"/>
    </row>
    <row r="64" spans="1:5" ht="11.25">
      <c r="A64" s="50"/>
      <c r="B64" s="51"/>
      <c r="C64" s="51"/>
      <c r="D64" s="51"/>
      <c r="E64" s="51"/>
    </row>
    <row r="65" spans="1:5" ht="11.25">
      <c r="A65" s="50"/>
      <c r="B65" s="51"/>
      <c r="C65" s="51"/>
      <c r="D65" s="51"/>
      <c r="E65" s="51"/>
    </row>
    <row r="66" spans="1:5" ht="11.25">
      <c r="A66" s="50"/>
      <c r="B66" s="51"/>
      <c r="C66" s="51"/>
      <c r="D66" s="51"/>
      <c r="E66" s="51"/>
    </row>
    <row r="67" spans="1:5" ht="11.25">
      <c r="A67" s="50"/>
      <c r="B67" s="51"/>
      <c r="C67" s="51"/>
      <c r="D67" s="51"/>
      <c r="E67" s="51"/>
    </row>
    <row r="68" spans="1:5" ht="11.25">
      <c r="A68" s="50"/>
      <c r="B68" s="51"/>
      <c r="C68" s="51"/>
      <c r="D68" s="51"/>
      <c r="E68" s="51"/>
    </row>
    <row r="69" spans="1:5" ht="11.25">
      <c r="A69" s="50"/>
      <c r="B69" s="51"/>
      <c r="C69" s="51"/>
      <c r="D69" s="51"/>
      <c r="E69" s="51"/>
    </row>
    <row r="70" spans="1:5" ht="11.25">
      <c r="A70" s="50"/>
      <c r="B70" s="51"/>
      <c r="C70" s="51"/>
      <c r="D70" s="51"/>
      <c r="E70" s="51"/>
    </row>
    <row r="71" spans="1:5" ht="11.25">
      <c r="A71" s="50"/>
      <c r="B71" s="51"/>
      <c r="C71" s="51"/>
      <c r="D71" s="51"/>
      <c r="E71" s="51"/>
    </row>
    <row r="72" spans="1:5" ht="11.25">
      <c r="A72" s="50"/>
      <c r="B72" s="51"/>
      <c r="C72" s="51"/>
      <c r="D72" s="51"/>
      <c r="E72" s="51"/>
    </row>
    <row r="73" spans="1:5" ht="11.25">
      <c r="A73" s="50"/>
      <c r="B73" s="51"/>
      <c r="C73" s="51"/>
      <c r="D73" s="51"/>
      <c r="E73" s="51"/>
    </row>
    <row r="74" spans="1:5" ht="11.25">
      <c r="A74" s="50"/>
      <c r="B74" s="51"/>
      <c r="C74" s="51"/>
      <c r="D74" s="51"/>
      <c r="E74" s="51"/>
    </row>
    <row r="75" spans="1:5" ht="11.25">
      <c r="A75" s="50"/>
      <c r="B75" s="51"/>
      <c r="C75" s="51"/>
      <c r="D75" s="51"/>
      <c r="E75" s="51"/>
    </row>
    <row r="76" spans="1:5" ht="11.25">
      <c r="A76" s="50"/>
      <c r="B76" s="51"/>
      <c r="C76" s="51"/>
      <c r="D76" s="51"/>
      <c r="E76" s="51"/>
    </row>
    <row r="77" spans="1:5" ht="11.25">
      <c r="A77" s="50"/>
      <c r="B77" s="51"/>
      <c r="C77" s="51"/>
      <c r="D77" s="51"/>
      <c r="E77" s="51"/>
    </row>
    <row r="78" spans="1:5" ht="11.25">
      <c r="A78" s="50"/>
      <c r="B78" s="51"/>
      <c r="C78" s="51"/>
      <c r="D78" s="51"/>
      <c r="E78" s="51"/>
    </row>
    <row r="79" spans="1:5" ht="11.25">
      <c r="A79" s="50"/>
      <c r="B79" s="51"/>
      <c r="C79" s="51"/>
      <c r="D79" s="51"/>
      <c r="E79" s="51"/>
    </row>
    <row r="80" spans="1:5" ht="11.25">
      <c r="A80" s="50"/>
      <c r="B80" s="51"/>
      <c r="C80" s="51"/>
      <c r="D80" s="51"/>
      <c r="E80" s="51"/>
    </row>
    <row r="81" spans="1:5" ht="11.25">
      <c r="A81" s="50"/>
      <c r="B81" s="51"/>
      <c r="C81" s="51"/>
      <c r="D81" s="51"/>
      <c r="E81" s="51"/>
    </row>
    <row r="82" spans="1:5" ht="11.25">
      <c r="A82" s="50"/>
      <c r="B82" s="51"/>
      <c r="C82" s="51"/>
      <c r="D82" s="51"/>
      <c r="E82" s="51"/>
    </row>
    <row r="83" spans="1:5" ht="11.25">
      <c r="A83" s="50"/>
      <c r="B83" s="51"/>
      <c r="C83" s="51"/>
      <c r="D83" s="51"/>
      <c r="E83" s="51"/>
    </row>
    <row r="84" spans="1:5" ht="11.25">
      <c r="A84" s="50"/>
      <c r="B84" s="51"/>
      <c r="C84" s="51"/>
      <c r="D84" s="51"/>
      <c r="E84" s="51"/>
    </row>
    <row r="85" spans="1:5" ht="11.25">
      <c r="A85" s="50"/>
      <c r="B85" s="51"/>
      <c r="C85" s="51"/>
      <c r="D85" s="51"/>
      <c r="E85" s="51"/>
    </row>
    <row r="86" spans="1:5" ht="11.25">
      <c r="A86" s="50"/>
      <c r="B86" s="51"/>
      <c r="C86" s="51"/>
      <c r="D86" s="51"/>
      <c r="E86" s="51"/>
    </row>
    <row r="87" spans="1:5" ht="11.25">
      <c r="A87" s="50"/>
      <c r="B87" s="51"/>
      <c r="C87" s="51"/>
      <c r="D87" s="51"/>
      <c r="E87" s="51"/>
    </row>
    <row r="88" spans="1:5" ht="11.25">
      <c r="A88" s="50"/>
      <c r="B88" s="51"/>
      <c r="C88" s="51"/>
      <c r="D88" s="51"/>
      <c r="E88" s="51"/>
    </row>
    <row r="89" spans="1:5" ht="11.25">
      <c r="A89" s="50"/>
      <c r="B89" s="51"/>
      <c r="C89" s="51"/>
      <c r="D89" s="51"/>
      <c r="E89" s="51"/>
    </row>
    <row r="90" spans="1:5" ht="11.25">
      <c r="A90" s="50"/>
      <c r="B90" s="51"/>
      <c r="C90" s="51"/>
      <c r="D90" s="51"/>
      <c r="E90" s="51"/>
    </row>
    <row r="91" spans="1:5" ht="11.25">
      <c r="A91" s="50"/>
      <c r="B91" s="51"/>
      <c r="C91" s="51"/>
      <c r="D91" s="51"/>
      <c r="E91" s="51"/>
    </row>
    <row r="92" spans="1:5" ht="11.25">
      <c r="A92" s="50"/>
      <c r="B92" s="51"/>
      <c r="C92" s="51"/>
      <c r="D92" s="51"/>
      <c r="E92" s="51"/>
    </row>
    <row r="93" spans="1:5" ht="11.25">
      <c r="A93" s="50"/>
      <c r="B93" s="51"/>
      <c r="C93" s="51"/>
      <c r="D93" s="51"/>
      <c r="E93" s="51"/>
    </row>
    <row r="94" spans="1:5" ht="11.25">
      <c r="A94" s="50"/>
      <c r="B94" s="51"/>
      <c r="C94" s="51"/>
      <c r="D94" s="51"/>
      <c r="E94" s="51"/>
    </row>
    <row r="95" spans="1:5" ht="11.25">
      <c r="A95" s="50"/>
      <c r="B95" s="51"/>
      <c r="C95" s="51"/>
      <c r="D95" s="51"/>
      <c r="E95" s="51"/>
    </row>
    <row r="96" spans="1:5" ht="11.25">
      <c r="A96" s="50"/>
      <c r="B96" s="51"/>
      <c r="C96" s="51"/>
      <c r="D96" s="51"/>
      <c r="E96" s="51"/>
    </row>
    <row r="97" spans="1:5" ht="11.25">
      <c r="A97" s="50"/>
      <c r="B97" s="51"/>
      <c r="C97" s="51"/>
      <c r="D97" s="51"/>
      <c r="E97" s="51"/>
    </row>
    <row r="98" spans="1:5" ht="11.25">
      <c r="A98" s="50"/>
      <c r="B98" s="51"/>
      <c r="C98" s="51"/>
      <c r="D98" s="51"/>
      <c r="E98" s="51"/>
    </row>
    <row r="99" spans="1:5" ht="11.25">
      <c r="A99" s="50"/>
      <c r="B99" s="51"/>
      <c r="C99" s="51"/>
      <c r="D99" s="51"/>
      <c r="E99" s="51"/>
    </row>
    <row r="100" spans="1:5" ht="11.25">
      <c r="A100" s="50"/>
      <c r="B100" s="51"/>
      <c r="C100" s="51"/>
      <c r="D100" s="51"/>
      <c r="E100" s="51"/>
    </row>
    <row r="101" spans="1:5" ht="11.25">
      <c r="A101" s="50"/>
      <c r="B101" s="51"/>
      <c r="C101" s="51"/>
      <c r="D101" s="51"/>
      <c r="E101" s="51"/>
    </row>
    <row r="102" spans="1:5" ht="11.25">
      <c r="A102" s="50"/>
      <c r="B102" s="51"/>
      <c r="C102" s="51"/>
      <c r="D102" s="51"/>
      <c r="E102" s="51"/>
    </row>
    <row r="103" spans="1:5" ht="11.25">
      <c r="A103" s="50"/>
      <c r="B103" s="51"/>
      <c r="C103" s="51"/>
      <c r="D103" s="51"/>
      <c r="E103" s="51"/>
    </row>
    <row r="104" spans="1:5" ht="11.25">
      <c r="A104" s="50"/>
      <c r="B104" s="51"/>
      <c r="C104" s="51"/>
      <c r="D104" s="51"/>
      <c r="E104" s="51"/>
    </row>
    <row r="105" spans="1:5" ht="11.25">
      <c r="A105" s="50"/>
      <c r="B105" s="51"/>
      <c r="C105" s="51"/>
      <c r="D105" s="51"/>
      <c r="E105" s="51"/>
    </row>
    <row r="106" spans="1:5" ht="11.25">
      <c r="A106" s="50"/>
      <c r="B106" s="51"/>
      <c r="C106" s="51"/>
      <c r="D106" s="51"/>
      <c r="E106" s="51"/>
    </row>
    <row r="107" spans="1:5" ht="11.25">
      <c r="A107" s="50"/>
      <c r="B107" s="51"/>
      <c r="C107" s="51"/>
      <c r="D107" s="51"/>
      <c r="E107" s="51"/>
    </row>
    <row r="108" spans="1:5" ht="11.25">
      <c r="A108" s="50"/>
      <c r="B108" s="51"/>
      <c r="C108" s="51"/>
      <c r="D108" s="51"/>
      <c r="E108" s="51"/>
    </row>
    <row r="109" spans="1:5" ht="11.25">
      <c r="A109" s="50"/>
      <c r="B109" s="51"/>
      <c r="C109" s="51"/>
      <c r="D109" s="51"/>
      <c r="E109" s="51"/>
    </row>
    <row r="110" spans="1:5" ht="11.25">
      <c r="A110" s="50"/>
      <c r="B110" s="51"/>
      <c r="C110" s="51"/>
      <c r="D110" s="51"/>
      <c r="E110" s="51"/>
    </row>
  </sheetData>
  <sheetProtection/>
  <mergeCells count="5">
    <mergeCell ref="A1:H1"/>
    <mergeCell ref="C2:H2"/>
    <mergeCell ref="A3:B3"/>
    <mergeCell ref="C16:H16"/>
    <mergeCell ref="C29:H29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headerFooter>
    <oddFooter>&amp;LMigrations  &amp;P /&amp;N&amp;R&amp;G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PageLayoutView="0" workbookViewId="0" topLeftCell="A1">
      <selection activeCell="A4" sqref="A4:G63"/>
    </sheetView>
  </sheetViews>
  <sheetFormatPr defaultColWidth="12" defaultRowHeight="11.25"/>
  <cols>
    <col min="1" max="1" width="32.33203125" style="28" customWidth="1"/>
    <col min="2" max="2" width="10.66015625" style="49" customWidth="1"/>
    <col min="3" max="3" width="10.83203125" style="20" customWidth="1"/>
    <col min="4" max="4" width="12" style="20" customWidth="1"/>
    <col min="5" max="6" width="10.83203125" style="20" customWidth="1"/>
    <col min="7" max="7" width="9.66015625" style="20" customWidth="1"/>
    <col min="8" max="16384" width="12" style="20" customWidth="1"/>
  </cols>
  <sheetData>
    <row r="1" spans="1:7" ht="33" customHeight="1">
      <c r="A1" s="85" t="s">
        <v>100</v>
      </c>
      <c r="B1" s="87"/>
      <c r="C1" s="87"/>
      <c r="D1" s="87"/>
      <c r="E1" s="87"/>
      <c r="F1" s="87"/>
      <c r="G1" s="87"/>
    </row>
    <row r="2" spans="1:7" ht="11.25" customHeight="1">
      <c r="A2" s="20"/>
      <c r="B2" s="20"/>
      <c r="C2" s="86" t="s">
        <v>61</v>
      </c>
      <c r="D2" s="86"/>
      <c r="E2" s="86"/>
      <c r="F2" s="86"/>
      <c r="G2" s="79"/>
    </row>
    <row r="3" spans="1:8" ht="24.75" customHeight="1">
      <c r="A3" s="58" t="s">
        <v>101</v>
      </c>
      <c r="B3" s="59" t="str">
        <f>_xlfn.COMPOUNDVALUE(55)</f>
        <v>Ensemble</v>
      </c>
      <c r="C3" s="38" t="str">
        <f>_xlfn.COMPOUNDVALUE(1)</f>
        <v>Polynésie française</v>
      </c>
      <c r="D3" s="38" t="str">
        <f>_xlfn.COMPOUNDVALUE(2)</f>
        <v>Métropole</v>
      </c>
      <c r="E3" s="38" t="str">
        <f>_xlfn.COMPOUNDVALUE(3)</f>
        <v>Nlle Cal.
Wallis</v>
      </c>
      <c r="F3" s="38" t="s">
        <v>102</v>
      </c>
      <c r="G3" s="38" t="str">
        <f>_xlfn.COMPOUNDVALUE(5)</f>
        <v>Etranger</v>
      </c>
      <c r="H3" s="51"/>
    </row>
    <row r="4" spans="1:8" ht="11.25">
      <c r="A4" s="22" t="str">
        <f>_xlfn.COMPOUNDVALUE(56)</f>
        <v>Ensemble</v>
      </c>
      <c r="B4" s="41">
        <v>268207</v>
      </c>
      <c r="C4" s="41">
        <v>237837</v>
      </c>
      <c r="D4" s="41">
        <v>22273</v>
      </c>
      <c r="E4" s="41">
        <v>2576</v>
      </c>
      <c r="F4" s="41">
        <v>980</v>
      </c>
      <c r="G4" s="60">
        <v>4541</v>
      </c>
      <c r="H4" s="51"/>
    </row>
    <row r="5" spans="1:8" ht="11.25">
      <c r="A5" s="24" t="str">
        <f>_xlfn.COMPOUNDVALUE(30)</f>
        <v>Moins de 10 ans</v>
      </c>
      <c r="B5" s="20">
        <v>42322</v>
      </c>
      <c r="C5" s="20">
        <v>40200</v>
      </c>
      <c r="D5" s="20">
        <v>1717</v>
      </c>
      <c r="E5" s="20">
        <v>76</v>
      </c>
      <c r="F5" s="20">
        <v>101</v>
      </c>
      <c r="G5" s="20">
        <v>228</v>
      </c>
      <c r="H5" s="51"/>
    </row>
    <row r="6" spans="1:8" ht="11.25">
      <c r="A6" s="24" t="str">
        <f>_xlfn.COMPOUNDVALUE(31)</f>
        <v>10-19 ans</v>
      </c>
      <c r="B6" s="20">
        <v>46394</v>
      </c>
      <c r="C6" s="20">
        <v>43623</v>
      </c>
      <c r="D6" s="20">
        <v>2178</v>
      </c>
      <c r="E6" s="20">
        <v>147</v>
      </c>
      <c r="F6" s="20">
        <v>145</v>
      </c>
      <c r="G6" s="20">
        <v>301</v>
      </c>
      <c r="H6" s="51"/>
    </row>
    <row r="7" spans="1:8" ht="11.25">
      <c r="A7" s="24" t="str">
        <f>_xlfn.COMPOUNDVALUE(32)</f>
        <v>20-29 ans</v>
      </c>
      <c r="B7" s="20">
        <v>45071</v>
      </c>
      <c r="C7" s="20">
        <v>42439</v>
      </c>
      <c r="D7" s="20">
        <v>2006</v>
      </c>
      <c r="E7" s="20">
        <v>234</v>
      </c>
      <c r="F7" s="20">
        <v>82</v>
      </c>
      <c r="G7" s="20">
        <v>310</v>
      </c>
      <c r="H7" s="51"/>
    </row>
    <row r="8" spans="1:8" ht="11.25">
      <c r="A8" s="24" t="str">
        <f>_xlfn.COMPOUNDVALUE(33)</f>
        <v>30-39 ans</v>
      </c>
      <c r="B8" s="20">
        <v>39928</v>
      </c>
      <c r="C8" s="20">
        <v>33907</v>
      </c>
      <c r="D8" s="20">
        <v>4270</v>
      </c>
      <c r="E8" s="20">
        <v>832</v>
      </c>
      <c r="F8" s="20">
        <v>145</v>
      </c>
      <c r="G8" s="20">
        <v>774</v>
      </c>
      <c r="H8" s="51"/>
    </row>
    <row r="9" spans="1:8" ht="11.25">
      <c r="A9" s="24" t="str">
        <f>_xlfn.COMPOUNDVALUE(34)</f>
        <v>40-49 ans</v>
      </c>
      <c r="B9" s="20">
        <v>39426</v>
      </c>
      <c r="C9" s="20">
        <v>32386</v>
      </c>
      <c r="D9" s="20">
        <v>5123</v>
      </c>
      <c r="E9" s="20">
        <v>818</v>
      </c>
      <c r="F9" s="20">
        <v>193</v>
      </c>
      <c r="G9" s="20">
        <v>906</v>
      </c>
      <c r="H9" s="51"/>
    </row>
    <row r="10" spans="1:8" ht="11.25">
      <c r="A10" s="24" t="str">
        <f>_xlfn.COMPOUNDVALUE(35)</f>
        <v>50-59 ans</v>
      </c>
      <c r="B10" s="20">
        <v>27948</v>
      </c>
      <c r="C10" s="20">
        <v>22867</v>
      </c>
      <c r="D10" s="20">
        <v>3561</v>
      </c>
      <c r="E10" s="20">
        <v>360</v>
      </c>
      <c r="F10" s="20">
        <v>172</v>
      </c>
      <c r="G10" s="20">
        <v>988</v>
      </c>
      <c r="H10" s="51"/>
    </row>
    <row r="11" spans="1:7" ht="11.25">
      <c r="A11" s="24" t="str">
        <f>_xlfn.COMPOUNDVALUE(36)</f>
        <v>60-69 ans</v>
      </c>
      <c r="B11" s="20">
        <v>15936</v>
      </c>
      <c r="C11" s="20">
        <v>12866</v>
      </c>
      <c r="D11" s="20">
        <v>2291</v>
      </c>
      <c r="E11" s="20">
        <v>82</v>
      </c>
      <c r="F11" s="20">
        <v>90</v>
      </c>
      <c r="G11" s="20">
        <v>607</v>
      </c>
    </row>
    <row r="12" spans="1:7" ht="11.25">
      <c r="A12" s="24" t="str">
        <f>_xlfn.COMPOUNDVALUE(37)</f>
        <v>70-79 ans</v>
      </c>
      <c r="B12" s="20">
        <v>8349</v>
      </c>
      <c r="C12" s="20">
        <v>7154</v>
      </c>
      <c r="D12" s="20">
        <v>809</v>
      </c>
      <c r="E12" s="20">
        <v>18</v>
      </c>
      <c r="F12" s="20">
        <v>37</v>
      </c>
      <c r="G12" s="20">
        <v>331</v>
      </c>
    </row>
    <row r="13" spans="1:7" ht="11.25">
      <c r="A13" s="24" t="str">
        <f>_xlfn.COMPOUNDVALUE(47)</f>
        <v>80 ans et plus</v>
      </c>
      <c r="B13" s="20">
        <v>2833</v>
      </c>
      <c r="C13" s="20">
        <v>2395</v>
      </c>
      <c r="D13" s="20">
        <v>318</v>
      </c>
      <c r="E13" s="20">
        <v>9</v>
      </c>
      <c r="F13" s="20">
        <v>15</v>
      </c>
      <c r="G13" s="20">
        <v>96</v>
      </c>
    </row>
    <row r="14" spans="1:7" ht="11.25">
      <c r="A14" s="22" t="str">
        <f>_xlfn.COMPOUNDVALUE(56)</f>
        <v>Iles Du Vent</v>
      </c>
      <c r="B14" s="41">
        <v>200714</v>
      </c>
      <c r="C14" s="41">
        <v>174705</v>
      </c>
      <c r="D14" s="41">
        <v>19203</v>
      </c>
      <c r="E14" s="41">
        <v>2173</v>
      </c>
      <c r="F14" s="41">
        <v>816</v>
      </c>
      <c r="G14" s="60">
        <v>3817</v>
      </c>
    </row>
    <row r="15" spans="1:7" ht="11.25">
      <c r="A15" s="24" t="str">
        <f>_xlfn.COMPOUNDVALUE(30)</f>
        <v>Moins de 10 ans</v>
      </c>
      <c r="B15" s="20">
        <v>30969</v>
      </c>
      <c r="C15" s="20">
        <v>29159</v>
      </c>
      <c r="D15" s="20">
        <v>1488</v>
      </c>
      <c r="E15" s="20">
        <v>64</v>
      </c>
      <c r="F15" s="20">
        <v>68</v>
      </c>
      <c r="G15" s="20">
        <v>190</v>
      </c>
    </row>
    <row r="16" spans="1:7" ht="11.25">
      <c r="A16" s="24" t="str">
        <f>_xlfn.COMPOUNDVALUE(31)</f>
        <v>10-19 ans</v>
      </c>
      <c r="B16" s="20">
        <v>34450</v>
      </c>
      <c r="C16" s="20">
        <v>32036</v>
      </c>
      <c r="D16" s="20">
        <v>1909</v>
      </c>
      <c r="E16" s="20">
        <v>123</v>
      </c>
      <c r="F16" s="20">
        <v>116</v>
      </c>
      <c r="G16" s="20">
        <v>266</v>
      </c>
    </row>
    <row r="17" spans="1:7" ht="11.25">
      <c r="A17" s="24" t="str">
        <f>_xlfn.COMPOUNDVALUE(32)</f>
        <v>20-29 ans</v>
      </c>
      <c r="B17" s="20">
        <v>33806</v>
      </c>
      <c r="C17" s="20">
        <v>31585</v>
      </c>
      <c r="D17" s="20">
        <v>1717</v>
      </c>
      <c r="E17" s="20">
        <v>192</v>
      </c>
      <c r="F17" s="20">
        <v>70</v>
      </c>
      <c r="G17" s="20">
        <v>242</v>
      </c>
    </row>
    <row r="18" spans="1:7" ht="11.25">
      <c r="A18" s="24" t="str">
        <f>_xlfn.COMPOUNDVALUE(33)</f>
        <v>30-39 ans</v>
      </c>
      <c r="B18" s="20">
        <v>30198</v>
      </c>
      <c r="C18" s="20">
        <v>25091</v>
      </c>
      <c r="D18" s="20">
        <v>3696</v>
      </c>
      <c r="E18" s="20">
        <v>673</v>
      </c>
      <c r="F18" s="20">
        <v>128</v>
      </c>
      <c r="G18" s="20">
        <v>610</v>
      </c>
    </row>
    <row r="19" spans="1:7" ht="11.25">
      <c r="A19" s="24" t="str">
        <f>_xlfn.COMPOUNDVALUE(34)</f>
        <v>40-49 ans</v>
      </c>
      <c r="B19" s="20">
        <v>29895</v>
      </c>
      <c r="C19" s="20">
        <v>23815</v>
      </c>
      <c r="D19" s="20">
        <v>4443</v>
      </c>
      <c r="E19" s="20">
        <v>698</v>
      </c>
      <c r="F19" s="20">
        <v>163</v>
      </c>
      <c r="G19" s="20">
        <v>776</v>
      </c>
    </row>
    <row r="20" spans="1:7" ht="11.25">
      <c r="A20" s="24" t="str">
        <f>_xlfn.COMPOUNDVALUE(35)</f>
        <v>50-59 ans</v>
      </c>
      <c r="B20" s="20">
        <v>21237</v>
      </c>
      <c r="C20" s="20">
        <v>16890</v>
      </c>
      <c r="D20" s="20">
        <v>3024</v>
      </c>
      <c r="E20" s="20">
        <v>323</v>
      </c>
      <c r="F20" s="20">
        <v>146</v>
      </c>
      <c r="G20" s="20">
        <v>854</v>
      </c>
    </row>
    <row r="21" spans="1:7" ht="11.25">
      <c r="A21" s="24" t="str">
        <f>_xlfn.COMPOUNDVALUE(36)</f>
        <v>60-69 ans</v>
      </c>
      <c r="B21" s="20">
        <v>11937</v>
      </c>
      <c r="C21" s="20">
        <v>9338</v>
      </c>
      <c r="D21" s="20">
        <v>1930</v>
      </c>
      <c r="E21" s="20">
        <v>76</v>
      </c>
      <c r="F21" s="20">
        <v>80</v>
      </c>
      <c r="G21" s="20">
        <v>513</v>
      </c>
    </row>
    <row r="22" spans="1:7" ht="11.25">
      <c r="A22" s="24" t="str">
        <f>_xlfn.COMPOUNDVALUE(37)</f>
        <v>70-79 ans</v>
      </c>
      <c r="B22" s="20">
        <v>6064</v>
      </c>
      <c r="C22" s="20">
        <v>5024</v>
      </c>
      <c r="D22" s="20">
        <v>711</v>
      </c>
      <c r="E22" s="20">
        <v>16</v>
      </c>
      <c r="F22" s="20">
        <v>32</v>
      </c>
      <c r="G22" s="20">
        <v>281</v>
      </c>
    </row>
    <row r="23" spans="1:7" ht="11.25">
      <c r="A23" s="24" t="str">
        <f>_xlfn.COMPOUNDVALUE(47)</f>
        <v>80 ans et plus</v>
      </c>
      <c r="B23" s="20">
        <v>2158</v>
      </c>
      <c r="C23" s="20">
        <v>1767</v>
      </c>
      <c r="D23" s="20">
        <v>285</v>
      </c>
      <c r="E23" s="20">
        <v>8</v>
      </c>
      <c r="F23" s="20">
        <v>13</v>
      </c>
      <c r="G23" s="20">
        <v>85</v>
      </c>
    </row>
    <row r="24" spans="1:7" ht="11.25">
      <c r="A24" s="22" t="str">
        <f>_xlfn.COMPOUNDVALUE(56)</f>
        <v>Iles Sous-Le-Vent</v>
      </c>
      <c r="B24" s="41">
        <v>34581</v>
      </c>
      <c r="C24" s="41">
        <v>31819</v>
      </c>
      <c r="D24" s="41">
        <v>1988</v>
      </c>
      <c r="E24" s="41">
        <v>243</v>
      </c>
      <c r="F24" s="41">
        <v>98</v>
      </c>
      <c r="G24" s="60">
        <v>433</v>
      </c>
    </row>
    <row r="25" spans="1:7" ht="11.25">
      <c r="A25" s="24" t="str">
        <f>_xlfn.COMPOUNDVALUE(30)</f>
        <v>Moins de 10 ans</v>
      </c>
      <c r="B25" s="20">
        <v>5606</v>
      </c>
      <c r="C25" s="20">
        <v>5429</v>
      </c>
      <c r="D25" s="20">
        <v>127</v>
      </c>
      <c r="E25" s="20">
        <v>8</v>
      </c>
      <c r="F25" s="20">
        <v>23</v>
      </c>
      <c r="G25" s="20">
        <v>19</v>
      </c>
    </row>
    <row r="26" spans="1:7" ht="11.25">
      <c r="A26" s="24" t="str">
        <f>_xlfn.COMPOUNDVALUE(31)</f>
        <v>10-19 ans</v>
      </c>
      <c r="B26" s="20">
        <v>6202</v>
      </c>
      <c r="C26" s="20">
        <v>5950</v>
      </c>
      <c r="D26" s="20">
        <v>189</v>
      </c>
      <c r="E26" s="20">
        <v>15</v>
      </c>
      <c r="F26" s="20">
        <v>20</v>
      </c>
      <c r="G26" s="20">
        <v>28</v>
      </c>
    </row>
    <row r="27" spans="1:7" ht="11.25">
      <c r="A27" s="24" t="str">
        <f>_xlfn.COMPOUNDVALUE(32)</f>
        <v>20-29 ans</v>
      </c>
      <c r="B27" s="20">
        <v>5504</v>
      </c>
      <c r="C27" s="20">
        <v>5242</v>
      </c>
      <c r="D27" s="20">
        <v>207</v>
      </c>
      <c r="E27" s="20">
        <v>21</v>
      </c>
      <c r="F27" s="20">
        <v>5</v>
      </c>
      <c r="G27" s="20">
        <v>29</v>
      </c>
    </row>
    <row r="28" spans="1:7" ht="11.25">
      <c r="A28" s="24" t="str">
        <f>_xlfn.COMPOUNDVALUE(33)</f>
        <v>30-39 ans</v>
      </c>
      <c r="B28" s="20">
        <v>4950</v>
      </c>
      <c r="C28" s="20">
        <v>4415</v>
      </c>
      <c r="D28" s="20">
        <v>349</v>
      </c>
      <c r="E28" s="20">
        <v>94</v>
      </c>
      <c r="F28" s="20">
        <v>8</v>
      </c>
      <c r="G28" s="20">
        <v>84</v>
      </c>
    </row>
    <row r="29" spans="1:7" ht="11.25">
      <c r="A29" s="24" t="str">
        <f>_xlfn.COMPOUNDVALUE(34)</f>
        <v>40-49 ans</v>
      </c>
      <c r="B29" s="20">
        <v>4996</v>
      </c>
      <c r="C29" s="20">
        <v>4369</v>
      </c>
      <c r="D29" s="20">
        <v>455</v>
      </c>
      <c r="E29" s="20">
        <v>74</v>
      </c>
      <c r="F29" s="20">
        <v>17</v>
      </c>
      <c r="G29" s="20">
        <v>81</v>
      </c>
    </row>
    <row r="30" spans="1:7" ht="11.25">
      <c r="A30" s="24" t="str">
        <f>_xlfn.COMPOUNDVALUE(35)</f>
        <v>50-59 ans</v>
      </c>
      <c r="B30" s="20">
        <v>3460</v>
      </c>
      <c r="C30" s="20">
        <v>3017</v>
      </c>
      <c r="D30" s="20">
        <v>325</v>
      </c>
      <c r="E30" s="20">
        <v>25</v>
      </c>
      <c r="F30" s="20">
        <v>12</v>
      </c>
      <c r="G30" s="20">
        <v>81</v>
      </c>
    </row>
    <row r="31" spans="1:7" ht="11.25">
      <c r="A31" s="24" t="str">
        <f>_xlfn.COMPOUNDVALUE(36)</f>
        <v>60-69 ans</v>
      </c>
      <c r="B31" s="20">
        <v>2222</v>
      </c>
      <c r="C31" s="20">
        <v>1886</v>
      </c>
      <c r="D31" s="20">
        <v>251</v>
      </c>
      <c r="E31" s="20">
        <v>5</v>
      </c>
      <c r="F31" s="20">
        <v>7</v>
      </c>
      <c r="G31" s="20">
        <v>73</v>
      </c>
    </row>
    <row r="32" spans="1:7" ht="11.25">
      <c r="A32" s="24" t="str">
        <f>_xlfn.COMPOUNDVALUE(37)</f>
        <v>70-79 ans</v>
      </c>
      <c r="B32" s="20">
        <v>1239</v>
      </c>
      <c r="C32" s="20">
        <v>1140</v>
      </c>
      <c r="D32" s="20">
        <v>64</v>
      </c>
      <c r="E32" s="20">
        <v>1</v>
      </c>
      <c r="F32" s="20">
        <v>4</v>
      </c>
      <c r="G32" s="20">
        <v>30</v>
      </c>
    </row>
    <row r="33" spans="1:7" ht="11.25">
      <c r="A33" s="24" t="str">
        <f>_xlfn.COMPOUNDVALUE(47)</f>
        <v>80 ans et plus</v>
      </c>
      <c r="B33" s="20">
        <v>402</v>
      </c>
      <c r="C33" s="20">
        <v>371</v>
      </c>
      <c r="D33" s="20">
        <v>21</v>
      </c>
      <c r="E33" s="20">
        <v>0</v>
      </c>
      <c r="F33" s="20">
        <v>2</v>
      </c>
      <c r="G33" s="20">
        <v>8</v>
      </c>
    </row>
    <row r="34" spans="1:7" ht="11.25">
      <c r="A34" s="22" t="str">
        <f>_xlfn.COMPOUNDVALUE(56)</f>
        <v>Marquises</v>
      </c>
      <c r="B34" s="41">
        <v>9261</v>
      </c>
      <c r="C34" s="41">
        <v>8793</v>
      </c>
      <c r="D34" s="41">
        <v>362</v>
      </c>
      <c r="E34" s="41">
        <v>24</v>
      </c>
      <c r="F34" s="41">
        <v>24</v>
      </c>
      <c r="G34" s="60">
        <v>58</v>
      </c>
    </row>
    <row r="35" spans="1:7" ht="11.25">
      <c r="A35" s="24" t="str">
        <f>_xlfn.COMPOUNDVALUE(30)</f>
        <v>Moins de 10 ans</v>
      </c>
      <c r="B35" s="20">
        <v>1699</v>
      </c>
      <c r="C35" s="20">
        <v>1659</v>
      </c>
      <c r="D35" s="20">
        <v>32</v>
      </c>
      <c r="E35" s="20">
        <v>2</v>
      </c>
      <c r="F35" s="20">
        <v>3</v>
      </c>
      <c r="G35" s="20">
        <v>3</v>
      </c>
    </row>
    <row r="36" spans="1:7" ht="11.25">
      <c r="A36" s="24" t="str">
        <f>_xlfn.COMPOUNDVALUE(31)</f>
        <v>10-19 ans</v>
      </c>
      <c r="B36" s="20">
        <v>1587</v>
      </c>
      <c r="C36" s="20">
        <v>1545</v>
      </c>
      <c r="D36" s="20">
        <v>33</v>
      </c>
      <c r="E36" s="20">
        <v>2</v>
      </c>
      <c r="F36" s="20">
        <v>4</v>
      </c>
      <c r="G36" s="20">
        <v>3</v>
      </c>
    </row>
    <row r="37" spans="1:7" ht="11.25">
      <c r="A37" s="24" t="str">
        <f>_xlfn.COMPOUNDVALUE(32)</f>
        <v>20-29 ans</v>
      </c>
      <c r="B37" s="20">
        <v>1520</v>
      </c>
      <c r="C37" s="20">
        <v>1499</v>
      </c>
      <c r="D37" s="20">
        <v>16</v>
      </c>
      <c r="E37" s="20">
        <v>4</v>
      </c>
      <c r="F37" s="20">
        <v>0</v>
      </c>
      <c r="G37" s="20">
        <v>1</v>
      </c>
    </row>
    <row r="38" spans="1:7" ht="11.25">
      <c r="A38" s="24" t="str">
        <f>_xlfn.COMPOUNDVALUE(33)</f>
        <v>30-39 ans</v>
      </c>
      <c r="B38" s="20">
        <v>1299</v>
      </c>
      <c r="C38" s="20">
        <v>1206</v>
      </c>
      <c r="D38" s="20">
        <v>73</v>
      </c>
      <c r="E38" s="20">
        <v>9</v>
      </c>
      <c r="F38" s="20">
        <v>3</v>
      </c>
      <c r="G38" s="20">
        <v>8</v>
      </c>
    </row>
    <row r="39" spans="1:7" ht="11.25">
      <c r="A39" s="24" t="str">
        <f>_xlfn.COMPOUNDVALUE(34)</f>
        <v>40-49 ans</v>
      </c>
      <c r="B39" s="20">
        <v>1296</v>
      </c>
      <c r="C39" s="20">
        <v>1197</v>
      </c>
      <c r="D39" s="20">
        <v>79</v>
      </c>
      <c r="E39" s="20">
        <v>7</v>
      </c>
      <c r="F39" s="20">
        <v>5</v>
      </c>
      <c r="G39" s="20">
        <v>8</v>
      </c>
    </row>
    <row r="40" spans="1:7" ht="11.25">
      <c r="A40" s="24" t="str">
        <f>_xlfn.COMPOUNDVALUE(35)</f>
        <v>50-59 ans</v>
      </c>
      <c r="B40" s="20">
        <v>964</v>
      </c>
      <c r="C40" s="20">
        <v>872</v>
      </c>
      <c r="D40" s="20">
        <v>67</v>
      </c>
      <c r="E40" s="20">
        <v>0</v>
      </c>
      <c r="F40" s="20">
        <v>7</v>
      </c>
      <c r="G40" s="20">
        <v>18</v>
      </c>
    </row>
    <row r="41" spans="1:7" ht="11.25">
      <c r="A41" s="24" t="str">
        <f>_xlfn.COMPOUNDVALUE(36)</f>
        <v>60-69 ans</v>
      </c>
      <c r="B41" s="20">
        <v>515</v>
      </c>
      <c r="C41" s="20">
        <v>458</v>
      </c>
      <c r="D41" s="20">
        <v>45</v>
      </c>
      <c r="E41" s="20">
        <v>0</v>
      </c>
      <c r="F41" s="20">
        <v>2</v>
      </c>
      <c r="G41" s="20">
        <v>10</v>
      </c>
    </row>
    <row r="42" spans="1:7" ht="11.25">
      <c r="A42" s="24" t="str">
        <f>_xlfn.COMPOUNDVALUE(37)</f>
        <v>70-79 ans</v>
      </c>
      <c r="B42" s="20">
        <v>296</v>
      </c>
      <c r="C42" s="20">
        <v>280</v>
      </c>
      <c r="D42" s="20">
        <v>10</v>
      </c>
      <c r="E42" s="20">
        <v>0</v>
      </c>
      <c r="F42" s="20">
        <v>0</v>
      </c>
      <c r="G42" s="20">
        <v>6</v>
      </c>
    </row>
    <row r="43" spans="1:7" ht="11.25">
      <c r="A43" s="24" t="str">
        <f>_xlfn.COMPOUNDVALUE(47)</f>
        <v>80 ans et plus</v>
      </c>
      <c r="B43" s="20">
        <v>85</v>
      </c>
      <c r="C43" s="20">
        <v>77</v>
      </c>
      <c r="D43" s="20">
        <v>7</v>
      </c>
      <c r="E43" s="20">
        <v>0</v>
      </c>
      <c r="F43" s="20">
        <v>0</v>
      </c>
      <c r="G43" s="20">
        <v>1</v>
      </c>
    </row>
    <row r="44" spans="1:7" ht="11.25">
      <c r="A44" s="22" t="str">
        <f>_xlfn.COMPOUNDVALUE(56)</f>
        <v>Australes</v>
      </c>
      <c r="B44" s="41">
        <v>6820</v>
      </c>
      <c r="C44" s="41">
        <v>6552</v>
      </c>
      <c r="D44" s="41">
        <v>180</v>
      </c>
      <c r="E44" s="41">
        <v>38</v>
      </c>
      <c r="F44" s="41">
        <v>19</v>
      </c>
      <c r="G44" s="60">
        <v>31</v>
      </c>
    </row>
    <row r="45" spans="1:7" ht="11.25">
      <c r="A45" s="24" t="str">
        <f>_xlfn.COMPOUNDVALUE(30)</f>
        <v>Moins de 10 ans</v>
      </c>
      <c r="B45" s="20">
        <v>1188</v>
      </c>
      <c r="C45" s="20">
        <v>1150</v>
      </c>
      <c r="D45" s="20">
        <v>29</v>
      </c>
      <c r="E45" s="20">
        <v>1</v>
      </c>
      <c r="F45" s="20">
        <v>2</v>
      </c>
      <c r="G45" s="20">
        <v>6</v>
      </c>
    </row>
    <row r="46" spans="1:7" ht="11.25">
      <c r="A46" s="24" t="str">
        <f>_xlfn.COMPOUNDVALUE(31)</f>
        <v>10-19 ans</v>
      </c>
      <c r="B46" s="20">
        <v>1165</v>
      </c>
      <c r="C46" s="20">
        <v>1152</v>
      </c>
      <c r="D46" s="20">
        <v>8</v>
      </c>
      <c r="E46" s="20">
        <v>2</v>
      </c>
      <c r="F46" s="20">
        <v>3</v>
      </c>
      <c r="G46" s="20">
        <v>0</v>
      </c>
    </row>
    <row r="47" spans="1:7" ht="11.25">
      <c r="A47" s="24" t="str">
        <f>_xlfn.COMPOUNDVALUE(32)</f>
        <v>20-29 ans</v>
      </c>
      <c r="B47" s="20">
        <v>1127</v>
      </c>
      <c r="C47" s="20">
        <v>1095</v>
      </c>
      <c r="D47" s="20">
        <v>22</v>
      </c>
      <c r="E47" s="20">
        <v>4</v>
      </c>
      <c r="F47" s="20">
        <v>1</v>
      </c>
      <c r="G47" s="20">
        <v>5</v>
      </c>
    </row>
    <row r="48" spans="1:7" ht="11.25">
      <c r="A48" s="24" t="str">
        <f>_xlfn.COMPOUNDVALUE(33)</f>
        <v>30-39 ans</v>
      </c>
      <c r="B48" s="20">
        <v>871</v>
      </c>
      <c r="C48" s="20">
        <v>809</v>
      </c>
      <c r="D48" s="20">
        <v>34</v>
      </c>
      <c r="E48" s="20">
        <v>19</v>
      </c>
      <c r="F48" s="20">
        <v>4</v>
      </c>
      <c r="G48" s="20">
        <v>5</v>
      </c>
    </row>
    <row r="49" spans="1:7" ht="11.25">
      <c r="A49" s="24" t="str">
        <f>_xlfn.COMPOUNDVALUE(34)</f>
        <v>40-49 ans</v>
      </c>
      <c r="B49" s="20">
        <v>939</v>
      </c>
      <c r="C49" s="20">
        <v>895</v>
      </c>
      <c r="D49" s="20">
        <v>27</v>
      </c>
      <c r="E49" s="20">
        <v>10</v>
      </c>
      <c r="F49" s="20">
        <v>4</v>
      </c>
      <c r="G49" s="20">
        <v>3</v>
      </c>
    </row>
    <row r="50" spans="1:7" ht="11.25">
      <c r="A50" s="24" t="str">
        <f>_xlfn.COMPOUNDVALUE(35)</f>
        <v>50-59 ans</v>
      </c>
      <c r="B50" s="20">
        <v>733</v>
      </c>
      <c r="C50" s="20">
        <v>693</v>
      </c>
      <c r="D50" s="20">
        <v>32</v>
      </c>
      <c r="E50" s="20">
        <v>0</v>
      </c>
      <c r="F50" s="20">
        <v>4</v>
      </c>
      <c r="G50" s="20">
        <v>4</v>
      </c>
    </row>
    <row r="51" spans="1:7" ht="11.25">
      <c r="A51" s="24" t="str">
        <f>_xlfn.COMPOUNDVALUE(36)</f>
        <v>60-69 ans</v>
      </c>
      <c r="B51" s="20">
        <v>423</v>
      </c>
      <c r="C51" s="20">
        <v>398</v>
      </c>
      <c r="D51" s="20">
        <v>19</v>
      </c>
      <c r="E51" s="20">
        <v>1</v>
      </c>
      <c r="F51" s="20">
        <v>1</v>
      </c>
      <c r="G51" s="20">
        <v>4</v>
      </c>
    </row>
    <row r="52" spans="1:7" ht="11.25">
      <c r="A52" s="24" t="str">
        <f>_xlfn.COMPOUNDVALUE(37)</f>
        <v>70-79 ans</v>
      </c>
      <c r="B52" s="20">
        <v>278</v>
      </c>
      <c r="C52" s="20">
        <v>265</v>
      </c>
      <c r="D52" s="20">
        <v>9</v>
      </c>
      <c r="E52" s="20">
        <v>1</v>
      </c>
      <c r="F52" s="20">
        <v>0</v>
      </c>
      <c r="G52" s="20">
        <v>3</v>
      </c>
    </row>
    <row r="53" spans="1:7" ht="11.25">
      <c r="A53" s="24" t="str">
        <f>_xlfn.COMPOUNDVALUE(47)</f>
        <v>80 ans et plus</v>
      </c>
      <c r="B53" s="20">
        <v>96</v>
      </c>
      <c r="C53" s="20">
        <v>95</v>
      </c>
      <c r="D53" s="20">
        <v>0</v>
      </c>
      <c r="E53" s="20">
        <v>0</v>
      </c>
      <c r="F53" s="20">
        <v>0</v>
      </c>
      <c r="G53" s="20">
        <v>1</v>
      </c>
    </row>
    <row r="54" spans="1:7" ht="11.25">
      <c r="A54" s="22" t="str">
        <f>_xlfn.COMPOUNDVALUE(56)</f>
        <v>Tuamotu-Gambier</v>
      </c>
      <c r="B54" s="41">
        <v>16831</v>
      </c>
      <c r="C54" s="41">
        <v>15968</v>
      </c>
      <c r="D54" s="41">
        <v>540</v>
      </c>
      <c r="E54" s="41">
        <v>98</v>
      </c>
      <c r="F54" s="41">
        <v>23</v>
      </c>
      <c r="G54" s="60">
        <v>202</v>
      </c>
    </row>
    <row r="55" spans="1:7" ht="11.25">
      <c r="A55" s="24" t="str">
        <f>_xlfn.COMPOUNDVALUE(30)</f>
        <v>Moins de 10 ans</v>
      </c>
      <c r="B55" s="20">
        <v>2860</v>
      </c>
      <c r="C55" s="20">
        <v>2803</v>
      </c>
      <c r="D55" s="20">
        <v>41</v>
      </c>
      <c r="E55" s="20">
        <v>1</v>
      </c>
      <c r="F55" s="20">
        <v>5</v>
      </c>
      <c r="G55" s="20">
        <v>10</v>
      </c>
    </row>
    <row r="56" spans="1:7" ht="11.25">
      <c r="A56" s="24" t="str">
        <f>_xlfn.COMPOUNDVALUE(31)</f>
        <v>10-19 ans</v>
      </c>
      <c r="B56" s="20">
        <v>2990</v>
      </c>
      <c r="C56" s="20">
        <v>2940</v>
      </c>
      <c r="D56" s="20">
        <v>39</v>
      </c>
      <c r="E56" s="20">
        <v>5</v>
      </c>
      <c r="F56" s="20">
        <v>2</v>
      </c>
      <c r="G56" s="20">
        <v>4</v>
      </c>
    </row>
    <row r="57" spans="1:7" ht="11.25">
      <c r="A57" s="24" t="str">
        <f>_xlfn.COMPOUNDVALUE(32)</f>
        <v>20-29 ans</v>
      </c>
      <c r="B57" s="20">
        <v>3114</v>
      </c>
      <c r="C57" s="20">
        <v>3018</v>
      </c>
      <c r="D57" s="20">
        <v>44</v>
      </c>
      <c r="E57" s="20">
        <v>13</v>
      </c>
      <c r="F57" s="20">
        <v>6</v>
      </c>
      <c r="G57" s="20">
        <v>33</v>
      </c>
    </row>
    <row r="58" spans="1:7" ht="11.25">
      <c r="A58" s="24" t="str">
        <f>_xlfn.COMPOUNDVALUE(33)</f>
        <v>30-39 ans</v>
      </c>
      <c r="B58" s="20">
        <v>2610</v>
      </c>
      <c r="C58" s="20">
        <v>2386</v>
      </c>
      <c r="D58" s="20">
        <v>118</v>
      </c>
      <c r="E58" s="20">
        <v>37</v>
      </c>
      <c r="F58" s="20">
        <v>2</v>
      </c>
      <c r="G58" s="20">
        <v>67</v>
      </c>
    </row>
    <row r="59" spans="1:7" ht="11.25">
      <c r="A59" s="24" t="str">
        <f>_xlfn.COMPOUNDVALUE(34)</f>
        <v>40-49 ans</v>
      </c>
      <c r="B59" s="20">
        <v>2300</v>
      </c>
      <c r="C59" s="20">
        <v>2110</v>
      </c>
      <c r="D59" s="20">
        <v>119</v>
      </c>
      <c r="E59" s="20">
        <v>29</v>
      </c>
      <c r="F59" s="20">
        <v>4</v>
      </c>
      <c r="G59" s="20">
        <v>38</v>
      </c>
    </row>
    <row r="60" spans="1:7" ht="11.25">
      <c r="A60" s="24" t="str">
        <f>_xlfn.COMPOUNDVALUE(35)</f>
        <v>50-59 ans</v>
      </c>
      <c r="B60" s="20">
        <v>1554</v>
      </c>
      <c r="C60" s="20">
        <v>1395</v>
      </c>
      <c r="D60" s="20">
        <v>113</v>
      </c>
      <c r="E60" s="20">
        <v>12</v>
      </c>
      <c r="F60" s="20">
        <v>3</v>
      </c>
      <c r="G60" s="20">
        <v>31</v>
      </c>
    </row>
    <row r="61" spans="1:7" ht="11.25">
      <c r="A61" s="24" t="str">
        <f>_xlfn.COMPOUNDVALUE(36)</f>
        <v>60-69 ans</v>
      </c>
      <c r="B61" s="20">
        <v>839</v>
      </c>
      <c r="C61" s="20">
        <v>786</v>
      </c>
      <c r="D61" s="20">
        <v>46</v>
      </c>
      <c r="E61" s="20">
        <v>0</v>
      </c>
      <c r="F61" s="20">
        <v>0</v>
      </c>
      <c r="G61" s="20">
        <v>7</v>
      </c>
    </row>
    <row r="62" spans="1:7" ht="11.25">
      <c r="A62" s="24" t="str">
        <f>_xlfn.COMPOUNDVALUE(37)</f>
        <v>70-79 ans</v>
      </c>
      <c r="B62" s="20">
        <v>472</v>
      </c>
      <c r="C62" s="20">
        <v>445</v>
      </c>
      <c r="D62" s="20">
        <v>15</v>
      </c>
      <c r="E62" s="20">
        <v>0</v>
      </c>
      <c r="F62" s="20">
        <v>1</v>
      </c>
      <c r="G62" s="20">
        <v>11</v>
      </c>
    </row>
    <row r="63" spans="1:7" ht="11.25">
      <c r="A63" s="48" t="str">
        <f>_xlfn.COMPOUNDVALUE(47)</f>
        <v>80 ans et plus</v>
      </c>
      <c r="B63" s="44">
        <v>92</v>
      </c>
      <c r="C63" s="44">
        <v>85</v>
      </c>
      <c r="D63" s="44">
        <v>5</v>
      </c>
      <c r="E63" s="44">
        <v>1</v>
      </c>
      <c r="F63" s="44">
        <v>0</v>
      </c>
      <c r="G63" s="44">
        <v>1</v>
      </c>
    </row>
    <row r="64" spans="2:7" ht="6.75" customHeight="1">
      <c r="B64" s="28"/>
      <c r="C64" s="28"/>
      <c r="D64" s="28"/>
      <c r="E64" s="28"/>
      <c r="F64" s="28"/>
      <c r="G64" s="28"/>
    </row>
    <row r="65" spans="1:7" ht="11.25">
      <c r="A65" s="17"/>
      <c r="B65" s="28"/>
      <c r="C65" s="28"/>
      <c r="D65" s="28"/>
      <c r="E65" s="28"/>
      <c r="F65" s="28"/>
      <c r="G65" s="29" t="s">
        <v>37</v>
      </c>
    </row>
  </sheetData>
  <sheetProtection/>
  <mergeCells count="2">
    <mergeCell ref="A1:G1"/>
    <mergeCell ref="C2:G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headerFooter>
    <oddFooter>&amp;LMigrations  &amp;P /&amp;N&amp;R&amp;G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B1">
      <selection activeCell="B4" sqref="B4:H59"/>
    </sheetView>
  </sheetViews>
  <sheetFormatPr defaultColWidth="12" defaultRowHeight="11.25"/>
  <cols>
    <col min="1" max="1" width="41.16015625" style="28" customWidth="1"/>
    <col min="2" max="2" width="32" style="20" customWidth="1"/>
    <col min="3" max="3" width="8.5" style="20" customWidth="1"/>
    <col min="4" max="4" width="9.83203125" style="20" customWidth="1"/>
    <col min="5" max="5" width="10.16015625" style="20" customWidth="1"/>
    <col min="6" max="6" width="10" style="20" customWidth="1"/>
    <col min="7" max="7" width="10.5" style="20" customWidth="1"/>
    <col min="8" max="8" width="8.66015625" style="20" customWidth="1"/>
    <col min="9" max="16384" width="12" style="20" customWidth="1"/>
  </cols>
  <sheetData>
    <row r="1" spans="1:8" ht="33" customHeight="1">
      <c r="A1" s="57" t="s">
        <v>103</v>
      </c>
      <c r="B1" s="85" t="s">
        <v>103</v>
      </c>
      <c r="C1" s="87"/>
      <c r="D1" s="87"/>
      <c r="E1" s="87"/>
      <c r="F1" s="87"/>
      <c r="G1" s="87"/>
      <c r="H1" s="87"/>
    </row>
    <row r="2" spans="1:8" ht="11.25">
      <c r="A2" s="20"/>
      <c r="D2" s="86" t="s">
        <v>61</v>
      </c>
      <c r="E2" s="86"/>
      <c r="F2" s="86"/>
      <c r="G2" s="86"/>
      <c r="H2" s="79"/>
    </row>
    <row r="3" spans="1:8" ht="24.75" customHeight="1">
      <c r="A3" s="47" t="s">
        <v>104</v>
      </c>
      <c r="B3" s="47" t="s">
        <v>104</v>
      </c>
      <c r="C3" s="59" t="str">
        <f>_xlfn.COMPOUNDVALUE(55)</f>
        <v>Ensemble</v>
      </c>
      <c r="D3" s="38" t="str">
        <f>_xlfn.COMPOUNDVALUE(1)</f>
        <v>Polynésie française</v>
      </c>
      <c r="E3" s="38" t="str">
        <f>_xlfn.COMPOUNDVALUE(2)</f>
        <v>Métropole</v>
      </c>
      <c r="F3" s="38" t="str">
        <f>_xlfn.COMPOUNDVALUE(3)</f>
        <v>Nlle Cal.
Wallis</v>
      </c>
      <c r="G3" s="38" t="s">
        <v>102</v>
      </c>
      <c r="H3" s="39" t="str">
        <f>_xlfn.COMPOUNDVALUE(5)</f>
        <v>Etranger</v>
      </c>
    </row>
    <row r="4" spans="1:8" ht="11.25">
      <c r="A4" s="22" t="str">
        <f>_xlfn.COMPOUNDVALUE(38)</f>
        <v>Ensemble</v>
      </c>
      <c r="B4" s="22" t="str">
        <f>_xlfn.COMPOUNDVALUE(38)</f>
        <v>Ensemble</v>
      </c>
      <c r="C4" s="41">
        <v>268207</v>
      </c>
      <c r="D4" s="41">
        <v>237837</v>
      </c>
      <c r="E4" s="41">
        <v>22273</v>
      </c>
      <c r="F4" s="41">
        <v>2576</v>
      </c>
      <c r="G4" s="41">
        <v>980</v>
      </c>
      <c r="H4" s="41">
        <v>4541</v>
      </c>
    </row>
    <row r="5" spans="1:8" ht="11.25">
      <c r="A5" s="24" t="str">
        <f>_xlfn.COMPOUNDVALUE(39)</f>
        <v>Agriculteurs exploitants</v>
      </c>
      <c r="B5" s="24" t="str">
        <f>_xlfn.COMPOUNDVALUE(39)</f>
        <v>Agriculteurs exploitants</v>
      </c>
      <c r="C5" s="20">
        <v>5047</v>
      </c>
      <c r="D5" s="20">
        <v>4885</v>
      </c>
      <c r="E5" s="20">
        <v>82</v>
      </c>
      <c r="F5" s="20">
        <v>38</v>
      </c>
      <c r="G5" s="20">
        <v>2</v>
      </c>
      <c r="H5" s="20">
        <v>40</v>
      </c>
    </row>
    <row r="6" spans="1:8" ht="11.25">
      <c r="A6" s="24" t="str">
        <f>_xlfn.COMPOUNDVALUE(40)</f>
        <v>Artisans, commerçants et chefs d'entreprise</v>
      </c>
      <c r="B6" s="24" t="str">
        <f>_xlfn.COMPOUNDVALUE(40)</f>
        <v>Artisans, commerçants et chefs d'entreprise</v>
      </c>
      <c r="C6" s="20">
        <v>9883</v>
      </c>
      <c r="D6" s="20">
        <v>7101</v>
      </c>
      <c r="E6" s="20">
        <v>2062</v>
      </c>
      <c r="F6" s="20">
        <v>187</v>
      </c>
      <c r="G6" s="20">
        <v>67</v>
      </c>
      <c r="H6" s="20">
        <v>466</v>
      </c>
    </row>
    <row r="7" spans="1:8" ht="11.25">
      <c r="A7" s="24" t="str">
        <f>_xlfn.COMPOUNDVALUE(41)</f>
        <v>Cadres et professions intellectuelles supérieures</v>
      </c>
      <c r="B7" s="24" t="str">
        <f>_xlfn.COMPOUNDVALUE(41)</f>
        <v>Cadres et professions intellectuelles supérieures</v>
      </c>
      <c r="C7" s="20">
        <v>7782</v>
      </c>
      <c r="D7" s="20">
        <v>3302</v>
      </c>
      <c r="E7" s="20">
        <v>3740</v>
      </c>
      <c r="F7" s="20">
        <v>100</v>
      </c>
      <c r="G7" s="20">
        <v>94</v>
      </c>
      <c r="H7" s="20">
        <v>546</v>
      </c>
    </row>
    <row r="8" spans="1:8" ht="11.25">
      <c r="A8" s="24" t="str">
        <f>_xlfn.COMPOUNDVALUE(42)</f>
        <v>Professions intermédiaires</v>
      </c>
      <c r="B8" s="24" t="str">
        <f>_xlfn.COMPOUNDVALUE(42)</f>
        <v>Professions intermédiaires</v>
      </c>
      <c r="C8" s="20">
        <v>14013</v>
      </c>
      <c r="D8" s="20">
        <v>9331</v>
      </c>
      <c r="E8" s="20">
        <v>3876</v>
      </c>
      <c r="F8" s="20">
        <v>253</v>
      </c>
      <c r="G8" s="20">
        <v>118</v>
      </c>
      <c r="H8" s="20">
        <v>435</v>
      </c>
    </row>
    <row r="9" spans="1:8" ht="11.25">
      <c r="A9" s="24" t="str">
        <f>_xlfn.COMPOUNDVALUE(43)</f>
        <v>Employés</v>
      </c>
      <c r="B9" s="24" t="str">
        <f>_xlfn.COMPOUNDVALUE(43)</f>
        <v>Employés</v>
      </c>
      <c r="C9" s="20">
        <v>29764</v>
      </c>
      <c r="D9" s="20">
        <v>26473</v>
      </c>
      <c r="E9" s="20">
        <v>2162</v>
      </c>
      <c r="F9" s="20">
        <v>539</v>
      </c>
      <c r="G9" s="20">
        <v>94</v>
      </c>
      <c r="H9" s="20">
        <v>496</v>
      </c>
    </row>
    <row r="10" spans="1:8" ht="11.25">
      <c r="A10" s="24" t="str">
        <f>_xlfn.COMPOUNDVALUE(44)</f>
        <v>Ouvriers</v>
      </c>
      <c r="B10" s="24" t="str">
        <f>_xlfn.COMPOUNDVALUE(44)</f>
        <v>Ouvriers</v>
      </c>
      <c r="C10" s="20">
        <v>22681</v>
      </c>
      <c r="D10" s="20">
        <v>21098</v>
      </c>
      <c r="E10" s="20">
        <v>838</v>
      </c>
      <c r="F10" s="20">
        <v>384</v>
      </c>
      <c r="G10" s="20">
        <v>52</v>
      </c>
      <c r="H10" s="20">
        <v>309</v>
      </c>
    </row>
    <row r="11" spans="1:8" ht="11.25">
      <c r="A11" s="24" t="str">
        <f>_xlfn.COMPOUNDVALUE(45)</f>
        <v>Retraités</v>
      </c>
      <c r="B11" s="24" t="str">
        <f>_xlfn.COMPOUNDVALUE(45)</f>
        <v>Retraités</v>
      </c>
      <c r="C11" s="20">
        <v>27547</v>
      </c>
      <c r="D11" s="20">
        <v>23264</v>
      </c>
      <c r="E11" s="20">
        <v>3080</v>
      </c>
      <c r="F11" s="20">
        <v>169</v>
      </c>
      <c r="G11" s="20">
        <v>135</v>
      </c>
      <c r="H11" s="20">
        <v>899</v>
      </c>
    </row>
    <row r="12" spans="1:8" ht="11.25">
      <c r="A12" s="24" t="str">
        <f>_xlfn.COMPOUNDVALUE(46)</f>
        <v>Autres personnes sans activité professionnelle</v>
      </c>
      <c r="B12" s="24" t="str">
        <f>_xlfn.COMPOUNDVALUE(46)</f>
        <v>Autres personnes sans activité professionnelle</v>
      </c>
      <c r="C12" s="20">
        <v>151490</v>
      </c>
      <c r="D12" s="20">
        <v>142383</v>
      </c>
      <c r="E12" s="20">
        <v>6433</v>
      </c>
      <c r="F12" s="20">
        <v>906</v>
      </c>
      <c r="G12" s="20">
        <v>418</v>
      </c>
      <c r="H12" s="20">
        <v>1350</v>
      </c>
    </row>
    <row r="13" spans="1:8" ht="11.25">
      <c r="A13" s="22" t="str">
        <f>_xlfn.COMPOUNDVALUE(56)</f>
        <v>Iles Du Vent</v>
      </c>
      <c r="B13" s="22" t="str">
        <f>_xlfn.COMPOUNDVALUE(56)</f>
        <v>Iles Du Vent</v>
      </c>
      <c r="C13" s="41">
        <v>200714</v>
      </c>
      <c r="D13" s="41">
        <v>174705</v>
      </c>
      <c r="E13" s="41">
        <v>19203</v>
      </c>
      <c r="F13" s="41">
        <v>2173</v>
      </c>
      <c r="G13" s="41">
        <v>816</v>
      </c>
      <c r="H13" s="41">
        <v>3817</v>
      </c>
    </row>
    <row r="14" spans="1:8" ht="11.25">
      <c r="A14" s="24" t="str">
        <f>_xlfn.COMPOUNDVALUE(39)</f>
        <v>Agriculteurs exploitants</v>
      </c>
      <c r="B14" s="24" t="str">
        <f>_xlfn.COMPOUNDVALUE(39)</f>
        <v>Agriculteurs exploitants</v>
      </c>
      <c r="C14" s="20">
        <v>1580</v>
      </c>
      <c r="D14" s="20">
        <v>1511</v>
      </c>
      <c r="E14" s="20">
        <v>35</v>
      </c>
      <c r="F14" s="20">
        <v>15</v>
      </c>
      <c r="G14" s="20">
        <v>1</v>
      </c>
      <c r="H14" s="20">
        <v>18</v>
      </c>
    </row>
    <row r="15" spans="1:8" ht="11.25">
      <c r="A15" s="24" t="str">
        <f>_xlfn.COMPOUNDVALUE(40)</f>
        <v>Artisans, commerçants et chefs d'entreprise</v>
      </c>
      <c r="B15" s="24" t="str">
        <f>_xlfn.COMPOUNDVALUE(40)</f>
        <v>Artisans, commerçants et chefs d'entreprise</v>
      </c>
      <c r="C15" s="20">
        <v>7443</v>
      </c>
      <c r="D15" s="20">
        <v>5097</v>
      </c>
      <c r="E15" s="20">
        <v>1734</v>
      </c>
      <c r="F15" s="20">
        <v>155</v>
      </c>
      <c r="G15" s="20">
        <v>53</v>
      </c>
      <c r="H15" s="20">
        <v>404</v>
      </c>
    </row>
    <row r="16" spans="1:8" ht="11.25">
      <c r="A16" s="24" t="str">
        <f>_xlfn.COMPOUNDVALUE(41)</f>
        <v>Cadres et professions intellectuelles supérieures</v>
      </c>
      <c r="B16" s="24" t="str">
        <f>_xlfn.COMPOUNDVALUE(41)</f>
        <v>Cadres et professions intellectuelles supérieures</v>
      </c>
      <c r="C16" s="20">
        <v>7030</v>
      </c>
      <c r="D16" s="20">
        <v>2968</v>
      </c>
      <c r="E16" s="20">
        <v>3393</v>
      </c>
      <c r="F16" s="20">
        <v>89</v>
      </c>
      <c r="G16" s="20">
        <v>85</v>
      </c>
      <c r="H16" s="20">
        <v>495</v>
      </c>
    </row>
    <row r="17" spans="1:8" ht="11.25">
      <c r="A17" s="24" t="str">
        <f>_xlfn.COMPOUNDVALUE(42)</f>
        <v>Professions intermédiaires</v>
      </c>
      <c r="B17" s="24" t="str">
        <f>_xlfn.COMPOUNDVALUE(42)</f>
        <v>Professions intermédiaires</v>
      </c>
      <c r="C17" s="20">
        <v>11707</v>
      </c>
      <c r="D17" s="20">
        <v>7687</v>
      </c>
      <c r="E17" s="20">
        <v>3326</v>
      </c>
      <c r="F17" s="20">
        <v>226</v>
      </c>
      <c r="G17" s="20">
        <v>93</v>
      </c>
      <c r="H17" s="20">
        <v>375</v>
      </c>
    </row>
    <row r="18" spans="1:8" ht="11.25">
      <c r="A18" s="24" t="str">
        <f>_xlfn.COMPOUNDVALUE(43)</f>
        <v>Employés</v>
      </c>
      <c r="B18" s="24" t="str">
        <f>_xlfn.COMPOUNDVALUE(43)</f>
        <v>Employés</v>
      </c>
      <c r="C18" s="20">
        <v>23950</v>
      </c>
      <c r="D18" s="20">
        <v>21077</v>
      </c>
      <c r="E18" s="20">
        <v>1888</v>
      </c>
      <c r="F18" s="20">
        <v>473</v>
      </c>
      <c r="G18" s="20">
        <v>85</v>
      </c>
      <c r="H18" s="20">
        <v>427</v>
      </c>
    </row>
    <row r="19" spans="1:8" ht="11.25">
      <c r="A19" s="24" t="str">
        <f>_xlfn.COMPOUNDVALUE(44)</f>
        <v>Ouvriers</v>
      </c>
      <c r="B19" s="24" t="str">
        <f>_xlfn.COMPOUNDVALUE(44)</f>
        <v>Ouvriers</v>
      </c>
      <c r="C19" s="20">
        <v>16849</v>
      </c>
      <c r="D19" s="20">
        <v>15637</v>
      </c>
      <c r="E19" s="20">
        <v>657</v>
      </c>
      <c r="F19" s="20">
        <v>326</v>
      </c>
      <c r="G19" s="20">
        <v>47</v>
      </c>
      <c r="H19" s="20">
        <v>182</v>
      </c>
    </row>
    <row r="20" spans="1:8" ht="11.25">
      <c r="A20" s="24" t="str">
        <f>_xlfn.COMPOUNDVALUE(45)</f>
        <v>Retraités</v>
      </c>
      <c r="B20" s="24" t="str">
        <f>_xlfn.COMPOUNDVALUE(45)</f>
        <v>Retraités</v>
      </c>
      <c r="C20" s="20">
        <v>21483</v>
      </c>
      <c r="D20" s="20">
        <v>17803</v>
      </c>
      <c r="E20" s="20">
        <v>2627</v>
      </c>
      <c r="F20" s="20">
        <v>155</v>
      </c>
      <c r="G20" s="20">
        <v>118</v>
      </c>
      <c r="H20" s="20">
        <v>780</v>
      </c>
    </row>
    <row r="21" spans="1:8" ht="11.25">
      <c r="A21" s="24" t="str">
        <f>_xlfn.COMPOUNDVALUE(46)</f>
        <v>Autres personnes sans activité professionnelle</v>
      </c>
      <c r="B21" s="24" t="str">
        <f>_xlfn.COMPOUNDVALUE(46)</f>
        <v>Autres personnes sans activité professionnelle</v>
      </c>
      <c r="C21" s="20">
        <v>110672</v>
      </c>
      <c r="D21" s="20">
        <v>102925</v>
      </c>
      <c r="E21" s="20">
        <v>5543</v>
      </c>
      <c r="F21" s="20">
        <v>734</v>
      </c>
      <c r="G21" s="20">
        <v>334</v>
      </c>
      <c r="H21" s="20">
        <v>1136</v>
      </c>
    </row>
    <row r="22" spans="1:8" ht="11.25">
      <c r="A22" s="22" t="str">
        <f>_xlfn.COMPOUNDVALUE(56)</f>
        <v>Iles Sous-Le-Vent</v>
      </c>
      <c r="B22" s="22" t="str">
        <f>_xlfn.COMPOUNDVALUE(56)</f>
        <v>Iles Sous-Le-Vent</v>
      </c>
      <c r="C22" s="41">
        <v>34581</v>
      </c>
      <c r="D22" s="41">
        <v>31819</v>
      </c>
      <c r="E22" s="41">
        <v>1988</v>
      </c>
      <c r="F22" s="41">
        <v>243</v>
      </c>
      <c r="G22" s="41">
        <v>98</v>
      </c>
      <c r="H22" s="41">
        <v>433</v>
      </c>
    </row>
    <row r="23" spans="1:8" ht="11.25">
      <c r="A23" s="24" t="str">
        <f>_xlfn.COMPOUNDVALUE(39)</f>
        <v>Agriculteurs exploitants</v>
      </c>
      <c r="B23" s="24" t="str">
        <f>_xlfn.COMPOUNDVALUE(39)</f>
        <v>Agriculteurs exploitants</v>
      </c>
      <c r="C23" s="20">
        <v>1184</v>
      </c>
      <c r="D23" s="20">
        <v>1154</v>
      </c>
      <c r="E23" s="20">
        <v>16</v>
      </c>
      <c r="F23" s="20">
        <v>5</v>
      </c>
      <c r="G23" s="20">
        <v>1</v>
      </c>
      <c r="H23" s="20">
        <v>8</v>
      </c>
    </row>
    <row r="24" spans="1:8" ht="11.25">
      <c r="A24" s="24" t="str">
        <f>_xlfn.COMPOUNDVALUE(40)</f>
        <v>Artisans, commerçants et chefs d'entreprise</v>
      </c>
      <c r="B24" s="24" t="str">
        <f>_xlfn.COMPOUNDVALUE(40)</f>
        <v>Artisans, commerçants et chefs d'entreprise</v>
      </c>
      <c r="C24" s="20">
        <v>1205</v>
      </c>
      <c r="D24" s="20">
        <v>907</v>
      </c>
      <c r="E24" s="20">
        <v>227</v>
      </c>
      <c r="F24" s="20">
        <v>23</v>
      </c>
      <c r="G24" s="20">
        <v>7</v>
      </c>
      <c r="H24" s="20">
        <v>41</v>
      </c>
    </row>
    <row r="25" spans="1:8" ht="11.25">
      <c r="A25" s="24" t="str">
        <f>_xlfn.COMPOUNDVALUE(41)</f>
        <v>Cadres et professions intellectuelles supérieures</v>
      </c>
      <c r="B25" s="24" t="str">
        <f>_xlfn.COMPOUNDVALUE(41)</f>
        <v>Cadres et professions intellectuelles supérieures</v>
      </c>
      <c r="C25" s="20">
        <v>490</v>
      </c>
      <c r="D25" s="20">
        <v>199</v>
      </c>
      <c r="E25" s="20">
        <v>244</v>
      </c>
      <c r="F25" s="20">
        <v>8</v>
      </c>
      <c r="G25" s="20">
        <v>5</v>
      </c>
      <c r="H25" s="20">
        <v>34</v>
      </c>
    </row>
    <row r="26" spans="1:8" ht="11.25">
      <c r="A26" s="24" t="str">
        <f>_xlfn.COMPOUNDVALUE(42)</f>
        <v>Professions intermédiaires</v>
      </c>
      <c r="B26" s="24" t="str">
        <f>_xlfn.COMPOUNDVALUE(42)</f>
        <v>Professions intermédiaires</v>
      </c>
      <c r="C26" s="20">
        <v>1126</v>
      </c>
      <c r="D26" s="20">
        <v>753</v>
      </c>
      <c r="E26" s="20">
        <v>309</v>
      </c>
      <c r="F26" s="20">
        <v>15</v>
      </c>
      <c r="G26" s="20">
        <v>11</v>
      </c>
      <c r="H26" s="20">
        <v>38</v>
      </c>
    </row>
    <row r="27" spans="1:8" ht="11.25">
      <c r="A27" s="24" t="str">
        <f>_xlfn.COMPOUNDVALUE(43)</f>
        <v>Employés</v>
      </c>
      <c r="B27" s="24" t="str">
        <f>_xlfn.COMPOUNDVALUE(43)</f>
        <v>Employés</v>
      </c>
      <c r="C27" s="20">
        <v>3630</v>
      </c>
      <c r="D27" s="20">
        <v>3330</v>
      </c>
      <c r="E27" s="20">
        <v>196</v>
      </c>
      <c r="F27" s="20">
        <v>41</v>
      </c>
      <c r="G27" s="20">
        <v>3</v>
      </c>
      <c r="H27" s="20">
        <v>60</v>
      </c>
    </row>
    <row r="28" spans="1:8" ht="11.25">
      <c r="A28" s="24" t="str">
        <f>_xlfn.COMPOUNDVALUE(44)</f>
        <v>Ouvriers</v>
      </c>
      <c r="B28" s="24" t="str">
        <f>_xlfn.COMPOUNDVALUE(44)</f>
        <v>Ouvriers</v>
      </c>
      <c r="C28" s="20">
        <v>2548</v>
      </c>
      <c r="D28" s="20">
        <v>2356</v>
      </c>
      <c r="E28" s="20">
        <v>135</v>
      </c>
      <c r="F28" s="20">
        <v>31</v>
      </c>
      <c r="G28" s="20">
        <v>4</v>
      </c>
      <c r="H28" s="20">
        <v>22</v>
      </c>
    </row>
    <row r="29" spans="1:8" ht="11.25">
      <c r="A29" s="24" t="str">
        <f>_xlfn.COMPOUNDVALUE(45)</f>
        <v>Retraités</v>
      </c>
      <c r="B29" s="24" t="str">
        <f>_xlfn.COMPOUNDVALUE(45)</f>
        <v>Retraités</v>
      </c>
      <c r="C29" s="20">
        <v>3306</v>
      </c>
      <c r="D29" s="20">
        <v>2899</v>
      </c>
      <c r="E29" s="20">
        <v>302</v>
      </c>
      <c r="F29" s="20">
        <v>12</v>
      </c>
      <c r="G29" s="20">
        <v>12</v>
      </c>
      <c r="H29" s="20">
        <v>81</v>
      </c>
    </row>
    <row r="30" spans="1:8" ht="11.25">
      <c r="A30" s="24" t="str">
        <f>_xlfn.COMPOUNDVALUE(46)</f>
        <v>Autres personnes sans activité professionnelle</v>
      </c>
      <c r="B30" s="24" t="str">
        <f>_xlfn.COMPOUNDVALUE(46)</f>
        <v>Autres personnes sans activité professionnelle</v>
      </c>
      <c r="C30" s="20">
        <v>21092</v>
      </c>
      <c r="D30" s="20">
        <v>20221</v>
      </c>
      <c r="E30" s="20">
        <v>559</v>
      </c>
      <c r="F30" s="20">
        <v>108</v>
      </c>
      <c r="G30" s="20">
        <v>55</v>
      </c>
      <c r="H30" s="20">
        <v>149</v>
      </c>
    </row>
    <row r="31" spans="1:8" ht="11.25">
      <c r="A31" s="22" t="str">
        <f>_xlfn.COMPOUNDVALUE(56)</f>
        <v>Marquises</v>
      </c>
      <c r="B31" s="22" t="str">
        <f>_xlfn.COMPOUNDVALUE(56)</f>
        <v>Marquises</v>
      </c>
      <c r="C31" s="41">
        <v>9261</v>
      </c>
      <c r="D31" s="41">
        <v>8793</v>
      </c>
      <c r="E31" s="41">
        <v>362</v>
      </c>
      <c r="F31" s="41">
        <v>24</v>
      </c>
      <c r="G31" s="41">
        <v>24</v>
      </c>
      <c r="H31" s="41">
        <v>58</v>
      </c>
    </row>
    <row r="32" spans="1:8" ht="11.25">
      <c r="A32" s="24" t="str">
        <f>_xlfn.COMPOUNDVALUE(39)</f>
        <v>Agriculteurs exploitants</v>
      </c>
      <c r="B32" s="24" t="str">
        <f>_xlfn.COMPOUNDVALUE(39)</f>
        <v>Agriculteurs exploitants</v>
      </c>
      <c r="C32" s="20">
        <v>467</v>
      </c>
      <c r="D32" s="20">
        <v>453</v>
      </c>
      <c r="E32" s="20">
        <v>11</v>
      </c>
      <c r="F32" s="20">
        <v>2</v>
      </c>
      <c r="G32" s="20">
        <v>0</v>
      </c>
      <c r="H32" s="20">
        <v>1</v>
      </c>
    </row>
    <row r="33" spans="1:8" ht="11.25">
      <c r="A33" s="24" t="str">
        <f>_xlfn.COMPOUNDVALUE(40)</f>
        <v>Artisans, commerçants et chefs d'entreprise</v>
      </c>
      <c r="B33" s="24" t="str">
        <f>_xlfn.COMPOUNDVALUE(40)</f>
        <v>Artisans, commerçants et chefs d'entreprise</v>
      </c>
      <c r="C33" s="20">
        <v>467</v>
      </c>
      <c r="D33" s="20">
        <v>416</v>
      </c>
      <c r="E33" s="20">
        <v>33</v>
      </c>
      <c r="F33" s="20">
        <v>4</v>
      </c>
      <c r="G33" s="20">
        <v>1</v>
      </c>
      <c r="H33" s="20">
        <v>13</v>
      </c>
    </row>
    <row r="34" spans="1:8" ht="11.25">
      <c r="A34" s="24" t="str">
        <f>_xlfn.COMPOUNDVALUE(41)</f>
        <v>Cadres et professions intellectuelles supérieures</v>
      </c>
      <c r="B34" s="24" t="str">
        <f>_xlfn.COMPOUNDVALUE(41)</f>
        <v>Cadres et professions intellectuelles supérieures</v>
      </c>
      <c r="C34" s="20">
        <v>98</v>
      </c>
      <c r="D34" s="20">
        <v>41</v>
      </c>
      <c r="E34" s="20">
        <v>47</v>
      </c>
      <c r="F34" s="20">
        <v>0</v>
      </c>
      <c r="G34" s="20">
        <v>4</v>
      </c>
      <c r="H34" s="20">
        <v>6</v>
      </c>
    </row>
    <row r="35" spans="1:8" ht="11.25">
      <c r="A35" s="24" t="str">
        <f>_xlfn.COMPOUNDVALUE(42)</f>
        <v>Professions intermédiaires</v>
      </c>
      <c r="B35" s="24" t="str">
        <f>_xlfn.COMPOUNDVALUE(42)</f>
        <v>Professions intermédiaires</v>
      </c>
      <c r="C35" s="20">
        <v>391</v>
      </c>
      <c r="D35" s="20">
        <v>302</v>
      </c>
      <c r="E35" s="20">
        <v>75</v>
      </c>
      <c r="F35" s="20">
        <v>3</v>
      </c>
      <c r="G35" s="20">
        <v>5</v>
      </c>
      <c r="H35" s="20">
        <v>6</v>
      </c>
    </row>
    <row r="36" spans="1:8" ht="11.25">
      <c r="A36" s="24" t="str">
        <f>_xlfn.COMPOUNDVALUE(43)</f>
        <v>Employés</v>
      </c>
      <c r="B36" s="24" t="str">
        <f>_xlfn.COMPOUNDVALUE(43)</f>
        <v>Employés</v>
      </c>
      <c r="C36" s="20">
        <v>652</v>
      </c>
      <c r="D36" s="20">
        <v>634</v>
      </c>
      <c r="E36" s="20">
        <v>13</v>
      </c>
      <c r="F36" s="20">
        <v>2</v>
      </c>
      <c r="G36" s="20">
        <v>0</v>
      </c>
      <c r="H36" s="20">
        <v>3</v>
      </c>
    </row>
    <row r="37" spans="1:8" ht="11.25">
      <c r="A37" s="24" t="str">
        <f>_xlfn.COMPOUNDVALUE(44)</f>
        <v>Ouvriers</v>
      </c>
      <c r="B37" s="24" t="str">
        <f>_xlfn.COMPOUNDVALUE(44)</f>
        <v>Ouvriers</v>
      </c>
      <c r="C37" s="20">
        <v>633</v>
      </c>
      <c r="D37" s="20">
        <v>620</v>
      </c>
      <c r="E37" s="20">
        <v>11</v>
      </c>
      <c r="F37" s="20">
        <v>1</v>
      </c>
      <c r="G37" s="20">
        <v>0</v>
      </c>
      <c r="H37" s="20">
        <v>1</v>
      </c>
    </row>
    <row r="38" spans="1:8" ht="11.25">
      <c r="A38" s="24" t="str">
        <f>_xlfn.COMPOUNDVALUE(45)</f>
        <v>Retraités</v>
      </c>
      <c r="B38" s="24" t="str">
        <f>_xlfn.COMPOUNDVALUE(45)</f>
        <v>Retraités</v>
      </c>
      <c r="C38" s="20">
        <v>840</v>
      </c>
      <c r="D38" s="20">
        <v>764</v>
      </c>
      <c r="E38" s="20">
        <v>60</v>
      </c>
      <c r="F38" s="20">
        <v>0</v>
      </c>
      <c r="G38" s="20">
        <v>3</v>
      </c>
      <c r="H38" s="20">
        <v>13</v>
      </c>
    </row>
    <row r="39" spans="1:8" ht="11.25">
      <c r="A39" s="24" t="str">
        <f>_xlfn.COMPOUNDVALUE(46)</f>
        <v>Autres personnes sans activité professionnelle</v>
      </c>
      <c r="B39" s="24" t="str">
        <f>_xlfn.COMPOUNDVALUE(46)</f>
        <v>Autres personnes sans activité professionnelle</v>
      </c>
      <c r="C39" s="20">
        <v>5713</v>
      </c>
      <c r="D39" s="20">
        <v>5563</v>
      </c>
      <c r="E39" s="20">
        <v>112</v>
      </c>
      <c r="F39" s="20">
        <v>12</v>
      </c>
      <c r="G39" s="20">
        <v>11</v>
      </c>
      <c r="H39" s="20">
        <v>15</v>
      </c>
    </row>
    <row r="40" spans="1:8" ht="11.25">
      <c r="A40" s="22" t="str">
        <f>_xlfn.COMPOUNDVALUE(56)</f>
        <v>Australes</v>
      </c>
      <c r="B40" s="22" t="str">
        <f>_xlfn.COMPOUNDVALUE(56)</f>
        <v>Australes</v>
      </c>
      <c r="C40" s="41">
        <v>6820</v>
      </c>
      <c r="D40" s="41">
        <v>6552</v>
      </c>
      <c r="E40" s="41">
        <v>180</v>
      </c>
      <c r="F40" s="41">
        <v>38</v>
      </c>
      <c r="G40" s="41">
        <v>19</v>
      </c>
      <c r="H40" s="41">
        <v>31</v>
      </c>
    </row>
    <row r="41" spans="1:8" ht="11.25">
      <c r="A41" s="24" t="str">
        <f>_xlfn.COMPOUNDVALUE(39)</f>
        <v>Agriculteurs exploitants</v>
      </c>
      <c r="B41" s="24" t="str">
        <f>_xlfn.COMPOUNDVALUE(39)</f>
        <v>Agriculteurs exploitants</v>
      </c>
      <c r="C41" s="20">
        <v>351</v>
      </c>
      <c r="D41" s="20">
        <v>340</v>
      </c>
      <c r="E41" s="20">
        <v>5</v>
      </c>
      <c r="F41" s="20">
        <v>5</v>
      </c>
      <c r="G41" s="20">
        <v>0</v>
      </c>
      <c r="H41" s="20">
        <v>1</v>
      </c>
    </row>
    <row r="42" spans="1:8" ht="11.25">
      <c r="A42" s="24" t="str">
        <f>_xlfn.COMPOUNDVALUE(40)</f>
        <v>Artisans, commerçants et chefs d'entreprise</v>
      </c>
      <c r="B42" s="24" t="str">
        <f>_xlfn.COMPOUNDVALUE(40)</f>
        <v>Artisans, commerçants et chefs d'entreprise</v>
      </c>
      <c r="C42" s="20">
        <v>347</v>
      </c>
      <c r="D42" s="20">
        <v>331</v>
      </c>
      <c r="E42" s="20">
        <v>10</v>
      </c>
      <c r="F42" s="20">
        <v>0</v>
      </c>
      <c r="G42" s="20">
        <v>3</v>
      </c>
      <c r="H42" s="20">
        <v>3</v>
      </c>
    </row>
    <row r="43" spans="1:8" ht="11.25">
      <c r="A43" s="24" t="str">
        <f>_xlfn.COMPOUNDVALUE(41)</f>
        <v>Cadres et professions intellectuelles supérieures</v>
      </c>
      <c r="B43" s="24" t="str">
        <f>_xlfn.COMPOUNDVALUE(41)</f>
        <v>Cadres et professions intellectuelles supérieures</v>
      </c>
      <c r="C43" s="20">
        <v>39</v>
      </c>
      <c r="D43" s="20">
        <v>20</v>
      </c>
      <c r="E43" s="20">
        <v>18</v>
      </c>
      <c r="F43" s="20">
        <v>1</v>
      </c>
      <c r="G43" s="20">
        <v>0</v>
      </c>
      <c r="H43" s="20">
        <v>0</v>
      </c>
    </row>
    <row r="44" spans="1:8" ht="11.25">
      <c r="A44" s="24" t="str">
        <f>_xlfn.COMPOUNDVALUE(42)</f>
        <v>Professions intermédiaires</v>
      </c>
      <c r="B44" s="24" t="str">
        <f>_xlfn.COMPOUNDVALUE(42)</f>
        <v>Professions intermédiaires</v>
      </c>
      <c r="C44" s="20">
        <v>242</v>
      </c>
      <c r="D44" s="20">
        <v>201</v>
      </c>
      <c r="E44" s="20">
        <v>30</v>
      </c>
      <c r="F44" s="20">
        <v>3</v>
      </c>
      <c r="G44" s="20">
        <v>6</v>
      </c>
      <c r="H44" s="20">
        <v>2</v>
      </c>
    </row>
    <row r="45" spans="1:8" ht="11.25">
      <c r="A45" s="24" t="str">
        <f>_xlfn.COMPOUNDVALUE(43)</f>
        <v>Employés</v>
      </c>
      <c r="B45" s="24" t="str">
        <f>_xlfn.COMPOUNDVALUE(43)</f>
        <v>Employés</v>
      </c>
      <c r="C45" s="20">
        <v>393</v>
      </c>
      <c r="D45" s="20">
        <v>365</v>
      </c>
      <c r="E45" s="20">
        <v>19</v>
      </c>
      <c r="F45" s="20">
        <v>5</v>
      </c>
      <c r="G45" s="20">
        <v>2</v>
      </c>
      <c r="H45" s="20">
        <v>2</v>
      </c>
    </row>
    <row r="46" spans="1:8" ht="11.25">
      <c r="A46" s="24" t="str">
        <f>_xlfn.COMPOUNDVALUE(44)</f>
        <v>Ouvriers</v>
      </c>
      <c r="B46" s="24" t="str">
        <f>_xlfn.COMPOUNDVALUE(44)</f>
        <v>Ouvriers</v>
      </c>
      <c r="C46" s="20">
        <v>659</v>
      </c>
      <c r="D46" s="20">
        <v>647</v>
      </c>
      <c r="E46" s="20">
        <v>5</v>
      </c>
      <c r="F46" s="20">
        <v>5</v>
      </c>
      <c r="G46" s="20">
        <v>0</v>
      </c>
      <c r="H46" s="20">
        <v>2</v>
      </c>
    </row>
    <row r="47" spans="1:8" ht="11.25">
      <c r="A47" s="24" t="str">
        <f>_xlfn.COMPOUNDVALUE(45)</f>
        <v>Retraités</v>
      </c>
      <c r="B47" s="24" t="str">
        <f>_xlfn.COMPOUNDVALUE(45)</f>
        <v>Retraités</v>
      </c>
      <c r="C47" s="20">
        <v>641</v>
      </c>
      <c r="D47" s="20">
        <v>606</v>
      </c>
      <c r="E47" s="20">
        <v>27</v>
      </c>
      <c r="F47" s="20">
        <v>2</v>
      </c>
      <c r="G47" s="20">
        <v>1</v>
      </c>
      <c r="H47" s="20">
        <v>5</v>
      </c>
    </row>
    <row r="48" spans="1:8" ht="11.25">
      <c r="A48" s="24" t="str">
        <f>_xlfn.COMPOUNDVALUE(46)</f>
        <v>Autres personnes sans activité professionnelle</v>
      </c>
      <c r="B48" s="24" t="str">
        <f>_xlfn.COMPOUNDVALUE(46)</f>
        <v>Autres personnes sans activité professionnelle</v>
      </c>
      <c r="C48" s="20">
        <v>4148</v>
      </c>
      <c r="D48" s="20">
        <v>4042</v>
      </c>
      <c r="E48" s="20">
        <v>66</v>
      </c>
      <c r="F48" s="20">
        <v>17</v>
      </c>
      <c r="G48" s="20">
        <v>7</v>
      </c>
      <c r="H48" s="20">
        <v>16</v>
      </c>
    </row>
    <row r="49" spans="1:8" ht="11.25">
      <c r="A49" s="22" t="str">
        <f>_xlfn.COMPOUNDVALUE(56)</f>
        <v>Tuamotu-Gambier</v>
      </c>
      <c r="B49" s="22" t="str">
        <f>_xlfn.COMPOUNDVALUE(56)</f>
        <v>Tuamotu-Gambier</v>
      </c>
      <c r="C49" s="41">
        <v>16831</v>
      </c>
      <c r="D49" s="41">
        <v>15968</v>
      </c>
      <c r="E49" s="41">
        <v>540</v>
      </c>
      <c r="F49" s="41">
        <v>98</v>
      </c>
      <c r="G49" s="41">
        <v>23</v>
      </c>
      <c r="H49" s="41">
        <v>202</v>
      </c>
    </row>
    <row r="50" spans="1:8" ht="11.25">
      <c r="A50" s="24" t="str">
        <f>_xlfn.COMPOUNDVALUE(39)</f>
        <v>Agriculteurs exploitants</v>
      </c>
      <c r="B50" s="24" t="str">
        <f>_xlfn.COMPOUNDVALUE(39)</f>
        <v>Agriculteurs exploitants</v>
      </c>
      <c r="C50" s="20">
        <v>1465</v>
      </c>
      <c r="D50" s="20">
        <v>1427</v>
      </c>
      <c r="E50" s="20">
        <v>15</v>
      </c>
      <c r="F50" s="20">
        <v>11</v>
      </c>
      <c r="G50" s="20">
        <v>0</v>
      </c>
      <c r="H50" s="20">
        <v>12</v>
      </c>
    </row>
    <row r="51" spans="1:8" ht="11.25">
      <c r="A51" s="24" t="str">
        <f>_xlfn.COMPOUNDVALUE(40)</f>
        <v>Artisans, commerçants et chefs d'entreprise</v>
      </c>
      <c r="B51" s="24" t="str">
        <f>_xlfn.COMPOUNDVALUE(40)</f>
        <v>Artisans, commerçants et chefs d'entreprise</v>
      </c>
      <c r="C51" s="20">
        <v>421</v>
      </c>
      <c r="D51" s="20">
        <v>350</v>
      </c>
      <c r="E51" s="20">
        <v>58</v>
      </c>
      <c r="F51" s="20">
        <v>5</v>
      </c>
      <c r="G51" s="20">
        <v>3</v>
      </c>
      <c r="H51" s="20">
        <v>5</v>
      </c>
    </row>
    <row r="52" spans="1:8" ht="11.25">
      <c r="A52" s="24" t="str">
        <f>_xlfn.COMPOUNDVALUE(41)</f>
        <v>Cadres et professions intellectuelles supérieures</v>
      </c>
      <c r="B52" s="24" t="str">
        <f>_xlfn.COMPOUNDVALUE(41)</f>
        <v>Cadres et professions intellectuelles supérieures</v>
      </c>
      <c r="C52" s="20">
        <v>125</v>
      </c>
      <c r="D52" s="20">
        <v>74</v>
      </c>
      <c r="E52" s="20">
        <v>38</v>
      </c>
      <c r="F52" s="20">
        <v>2</v>
      </c>
      <c r="G52" s="20">
        <v>0</v>
      </c>
      <c r="H52" s="20">
        <v>11</v>
      </c>
    </row>
    <row r="53" spans="1:8" ht="11.25">
      <c r="A53" s="24" t="str">
        <f>_xlfn.COMPOUNDVALUE(42)</f>
        <v>Professions intermédiaires</v>
      </c>
      <c r="B53" s="24" t="str">
        <f>_xlfn.COMPOUNDVALUE(42)</f>
        <v>Professions intermédiaires</v>
      </c>
      <c r="C53" s="20">
        <v>547</v>
      </c>
      <c r="D53" s="20">
        <v>388</v>
      </c>
      <c r="E53" s="20">
        <v>136</v>
      </c>
      <c r="F53" s="20">
        <v>6</v>
      </c>
      <c r="G53" s="20">
        <v>3</v>
      </c>
      <c r="H53" s="20">
        <v>14</v>
      </c>
    </row>
    <row r="54" spans="1:8" ht="11.25">
      <c r="A54" s="24" t="str">
        <f>_xlfn.COMPOUNDVALUE(43)</f>
        <v>Employés</v>
      </c>
      <c r="B54" s="24" t="str">
        <f>_xlfn.COMPOUNDVALUE(43)</f>
        <v>Employés</v>
      </c>
      <c r="C54" s="20">
        <v>1139</v>
      </c>
      <c r="D54" s="20">
        <v>1067</v>
      </c>
      <c r="E54" s="20">
        <v>46</v>
      </c>
      <c r="F54" s="20">
        <v>18</v>
      </c>
      <c r="G54" s="20">
        <v>4</v>
      </c>
      <c r="H54" s="20">
        <v>4</v>
      </c>
    </row>
    <row r="55" spans="1:8" ht="11.25">
      <c r="A55" s="24" t="str">
        <f>_xlfn.COMPOUNDVALUE(44)</f>
        <v>Ouvriers</v>
      </c>
      <c r="B55" s="24" t="str">
        <f>_xlfn.COMPOUNDVALUE(44)</f>
        <v>Ouvriers</v>
      </c>
      <c r="C55" s="20">
        <v>1992</v>
      </c>
      <c r="D55" s="20">
        <v>1838</v>
      </c>
      <c r="E55" s="20">
        <v>30</v>
      </c>
      <c r="F55" s="20">
        <v>21</v>
      </c>
      <c r="G55" s="20">
        <v>1</v>
      </c>
      <c r="H55" s="20">
        <v>102</v>
      </c>
    </row>
    <row r="56" spans="1:8" ht="11.25">
      <c r="A56" s="24" t="str">
        <f>_xlfn.COMPOUNDVALUE(45)</f>
        <v>Retraités</v>
      </c>
      <c r="B56" s="24" t="str">
        <f>_xlfn.COMPOUNDVALUE(45)</f>
        <v>Retraités</v>
      </c>
      <c r="C56" s="20">
        <v>1277</v>
      </c>
      <c r="D56" s="20">
        <v>1192</v>
      </c>
      <c r="E56" s="20">
        <v>64</v>
      </c>
      <c r="F56" s="20">
        <v>0</v>
      </c>
      <c r="G56" s="20">
        <v>1</v>
      </c>
      <c r="H56" s="20">
        <v>20</v>
      </c>
    </row>
    <row r="57" spans="1:8" ht="11.25">
      <c r="A57" s="26" t="str">
        <f>_xlfn.COMPOUNDVALUE(46)</f>
        <v>Autres personnes sans activité professionnelle</v>
      </c>
      <c r="B57" s="61" t="str">
        <f>_xlfn.COMPOUNDVALUE(46)</f>
        <v>Autres personnes sans activité professionnelle</v>
      </c>
      <c r="C57" s="62">
        <v>9865</v>
      </c>
      <c r="D57" s="62">
        <v>9632</v>
      </c>
      <c r="E57" s="62">
        <v>153</v>
      </c>
      <c r="F57" s="62">
        <v>35</v>
      </c>
      <c r="G57" s="62">
        <v>11</v>
      </c>
      <c r="H57" s="62">
        <v>34</v>
      </c>
    </row>
    <row r="58" ht="11.25">
      <c r="A58" s="20"/>
    </row>
    <row r="59" spans="1:8" ht="11.25">
      <c r="A59" s="17"/>
      <c r="B59" s="17"/>
      <c r="C59" s="28"/>
      <c r="D59" s="28"/>
      <c r="E59" s="28"/>
      <c r="F59" s="28"/>
      <c r="G59" s="28"/>
      <c r="H59" s="29" t="s">
        <v>37</v>
      </c>
    </row>
  </sheetData>
  <sheetProtection/>
  <mergeCells count="2">
    <mergeCell ref="B1:H1"/>
    <mergeCell ref="D2:H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headerFooter>
    <oddFooter>&amp;LMigrations  &amp;P /&amp;N&amp;R&amp;G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5"/>
  <sheetViews>
    <sheetView showGridLines="0" zoomScalePageLayoutView="0" workbookViewId="0" topLeftCell="A1">
      <selection activeCell="A4" sqref="A4:L59"/>
    </sheetView>
  </sheetViews>
  <sheetFormatPr defaultColWidth="12" defaultRowHeight="11.25"/>
  <cols>
    <col min="1" max="1" width="11.66015625" style="28" customWidth="1"/>
    <col min="2" max="2" width="8.83203125" style="49" customWidth="1"/>
    <col min="3" max="12" width="8.66015625" style="20" customWidth="1"/>
    <col min="13" max="13" width="11.66015625" style="20" customWidth="1"/>
    <col min="14" max="15" width="14.83203125" style="20" bestFit="1" customWidth="1"/>
    <col min="16" max="16384" width="12" style="20" customWidth="1"/>
  </cols>
  <sheetData>
    <row r="1" spans="1:11" ht="33" customHeight="1">
      <c r="A1" s="85" t="s">
        <v>105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2" ht="14.25" customHeight="1">
      <c r="A2" s="20"/>
      <c r="B2" s="20"/>
      <c r="C2" s="88" t="s">
        <v>106</v>
      </c>
      <c r="D2" s="88"/>
      <c r="E2" s="88"/>
      <c r="F2" s="88"/>
      <c r="G2" s="88"/>
      <c r="H2" s="88"/>
      <c r="I2" s="88"/>
      <c r="J2" s="88"/>
      <c r="K2" s="88"/>
      <c r="L2" s="88"/>
    </row>
    <row r="3" spans="1:15" ht="22.5">
      <c r="A3" s="58" t="s">
        <v>107</v>
      </c>
      <c r="B3" s="59" t="str">
        <f>_xlfn.COMPOUNDVALUE(57)</f>
        <v>Ensemble</v>
      </c>
      <c r="C3" s="38" t="str">
        <f>_xlfn.COMPOUNDVALUE(6)</f>
        <v>Avant 1970</v>
      </c>
      <c r="D3" s="38" t="str">
        <f>_xlfn.COMPOUNDVALUE(7)</f>
        <v>De 1970 à 1974</v>
      </c>
      <c r="E3" s="38" t="str">
        <f>_xlfn.COMPOUNDVALUE(8)</f>
        <v>De 1975 à 1979</v>
      </c>
      <c r="F3" s="38" t="str">
        <f>_xlfn.COMPOUNDVALUE(9)</f>
        <v>De 1980 à 1984</v>
      </c>
      <c r="G3" s="38" t="str">
        <f>_xlfn.COMPOUNDVALUE(10)</f>
        <v>De 1985 à 1989</v>
      </c>
      <c r="H3" s="38" t="str">
        <f>_xlfn.COMPOUNDVALUE(11)</f>
        <v>De 1990 à 1994</v>
      </c>
      <c r="I3" s="38" t="str">
        <f>_xlfn.COMPOUNDVALUE(12)</f>
        <v>De 1995 à 1999</v>
      </c>
      <c r="J3" s="38" t="str">
        <f>_xlfn.COMPOUNDVALUE(13)</f>
        <v>De 2000 à 2004</v>
      </c>
      <c r="K3" s="38" t="s">
        <v>47</v>
      </c>
      <c r="L3" s="39" t="s">
        <v>108</v>
      </c>
      <c r="M3" s="51"/>
      <c r="N3" s="51"/>
      <c r="O3" s="51"/>
    </row>
    <row r="4" spans="1:15" ht="11.25">
      <c r="A4" s="22" t="str">
        <f>_xlfn.COMPOUNDVALUE(56)</f>
        <v>Ensemble</v>
      </c>
      <c r="B4" s="63">
        <v>30370</v>
      </c>
      <c r="C4" s="63">
        <v>1410</v>
      </c>
      <c r="D4" s="63">
        <v>877</v>
      </c>
      <c r="E4" s="63">
        <v>1213</v>
      </c>
      <c r="F4" s="63">
        <v>2027</v>
      </c>
      <c r="G4" s="63">
        <v>1806</v>
      </c>
      <c r="H4" s="63">
        <v>2280</v>
      </c>
      <c r="I4" s="63">
        <v>2757</v>
      </c>
      <c r="J4" s="63">
        <v>3993</v>
      </c>
      <c r="K4" s="63">
        <v>5224</v>
      </c>
      <c r="L4" s="63">
        <v>8783</v>
      </c>
      <c r="M4" s="51"/>
      <c r="N4" s="51"/>
      <c r="O4" s="51"/>
    </row>
    <row r="5" spans="1:15" ht="11.25">
      <c r="A5" s="24" t="str">
        <f>_xlfn.COMPOUNDVALUE(58)</f>
        <v>Moins de 5 ans</v>
      </c>
      <c r="B5" s="64">
        <v>782</v>
      </c>
      <c r="C5" s="64">
        <v>0</v>
      </c>
      <c r="D5" s="64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99</v>
      </c>
      <c r="L5" s="64">
        <v>683</v>
      </c>
      <c r="M5" s="50"/>
      <c r="N5" s="51"/>
      <c r="O5" s="51"/>
    </row>
    <row r="6" spans="1:15" ht="11.25">
      <c r="A6" s="24" t="str">
        <f>_xlfn.COMPOUNDVALUE(59)</f>
        <v>5-9 ans</v>
      </c>
      <c r="B6" s="64">
        <v>1340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46</v>
      </c>
      <c r="K6" s="64">
        <v>493</v>
      </c>
      <c r="L6" s="64">
        <v>801</v>
      </c>
      <c r="M6" s="65"/>
      <c r="N6" s="51"/>
      <c r="O6" s="51"/>
    </row>
    <row r="7" spans="1:15" ht="11.25">
      <c r="A7" s="24" t="str">
        <f>_xlfn.COMPOUNDVALUE(60)</f>
        <v>10-14 ans</v>
      </c>
      <c r="B7" s="64">
        <v>1615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1</v>
      </c>
      <c r="I7" s="64">
        <v>53</v>
      </c>
      <c r="J7" s="64">
        <v>338</v>
      </c>
      <c r="K7" s="64">
        <v>471</v>
      </c>
      <c r="L7" s="64">
        <v>752</v>
      </c>
      <c r="M7" s="66"/>
      <c r="N7" s="51"/>
      <c r="O7" s="51"/>
    </row>
    <row r="8" spans="1:15" ht="11.25">
      <c r="A8" s="24" t="str">
        <f>_xlfn.COMPOUNDVALUE(61)</f>
        <v>15-19 ans</v>
      </c>
      <c r="B8" s="64">
        <v>1156</v>
      </c>
      <c r="C8" s="64">
        <v>1</v>
      </c>
      <c r="D8" s="64">
        <v>0</v>
      </c>
      <c r="E8" s="64">
        <v>0</v>
      </c>
      <c r="F8" s="64">
        <v>2</v>
      </c>
      <c r="G8" s="64">
        <v>0</v>
      </c>
      <c r="H8" s="64">
        <v>28</v>
      </c>
      <c r="I8" s="64">
        <v>240</v>
      </c>
      <c r="J8" s="64">
        <v>220</v>
      </c>
      <c r="K8" s="64">
        <v>254</v>
      </c>
      <c r="L8" s="64">
        <v>411</v>
      </c>
      <c r="M8" s="66"/>
      <c r="N8" s="51"/>
      <c r="O8" s="51"/>
    </row>
    <row r="9" spans="1:15" ht="11.25">
      <c r="A9" s="24" t="str">
        <f>_xlfn.COMPOUNDVALUE(62)</f>
        <v>20-24 ans</v>
      </c>
      <c r="B9" s="64">
        <v>894</v>
      </c>
      <c r="C9" s="64">
        <v>1</v>
      </c>
      <c r="D9" s="64">
        <v>0</v>
      </c>
      <c r="E9" s="64">
        <v>1</v>
      </c>
      <c r="F9" s="64">
        <v>0</v>
      </c>
      <c r="G9" s="64">
        <v>18</v>
      </c>
      <c r="H9" s="64">
        <v>143</v>
      </c>
      <c r="I9" s="64">
        <v>125</v>
      </c>
      <c r="J9" s="64">
        <v>135</v>
      </c>
      <c r="K9" s="64">
        <v>130</v>
      </c>
      <c r="L9" s="64">
        <v>341</v>
      </c>
      <c r="M9" s="66"/>
      <c r="N9" s="51"/>
      <c r="O9" s="51"/>
    </row>
    <row r="10" spans="1:15" ht="11.25">
      <c r="A10" s="24" t="str">
        <f>_xlfn.COMPOUNDVALUE(63)</f>
        <v>25-29 ans</v>
      </c>
      <c r="B10" s="64">
        <v>1738</v>
      </c>
      <c r="C10" s="64">
        <v>2</v>
      </c>
      <c r="D10" s="64">
        <v>1</v>
      </c>
      <c r="E10" s="64">
        <v>2</v>
      </c>
      <c r="F10" s="64">
        <v>26</v>
      </c>
      <c r="G10" s="64">
        <v>146</v>
      </c>
      <c r="H10" s="64">
        <v>120</v>
      </c>
      <c r="I10" s="64">
        <v>80</v>
      </c>
      <c r="J10" s="64">
        <v>156</v>
      </c>
      <c r="K10" s="64">
        <v>356</v>
      </c>
      <c r="L10" s="64">
        <v>849</v>
      </c>
      <c r="M10" s="66"/>
      <c r="N10" s="51"/>
      <c r="O10" s="51"/>
    </row>
    <row r="11" spans="1:15" ht="11.25">
      <c r="A11" s="24" t="str">
        <f>_xlfn.COMPOUNDVALUE(64)</f>
        <v>30-34 ans</v>
      </c>
      <c r="B11" s="64">
        <v>2679</v>
      </c>
      <c r="C11" s="64">
        <v>2</v>
      </c>
      <c r="D11" s="64">
        <v>0</v>
      </c>
      <c r="E11" s="64">
        <v>41</v>
      </c>
      <c r="F11" s="64">
        <v>228</v>
      </c>
      <c r="G11" s="64">
        <v>148</v>
      </c>
      <c r="H11" s="64">
        <v>119</v>
      </c>
      <c r="I11" s="64">
        <v>164</v>
      </c>
      <c r="J11" s="64">
        <v>391</v>
      </c>
      <c r="K11" s="64">
        <v>591</v>
      </c>
      <c r="L11" s="64">
        <v>995</v>
      </c>
      <c r="M11" s="65"/>
      <c r="N11" s="51"/>
      <c r="O11" s="51"/>
    </row>
    <row r="12" spans="1:15" ht="11.25">
      <c r="A12" s="24" t="str">
        <f>_xlfn.COMPOUNDVALUE(65)</f>
        <v>35-39 ans</v>
      </c>
      <c r="B12" s="64">
        <v>3342</v>
      </c>
      <c r="C12" s="64">
        <v>0</v>
      </c>
      <c r="D12" s="64">
        <v>42</v>
      </c>
      <c r="E12" s="64">
        <v>200</v>
      </c>
      <c r="F12" s="64">
        <v>245</v>
      </c>
      <c r="G12" s="64">
        <v>136</v>
      </c>
      <c r="H12" s="64">
        <v>166</v>
      </c>
      <c r="I12" s="64">
        <v>320</v>
      </c>
      <c r="J12" s="64">
        <v>561</v>
      </c>
      <c r="K12" s="64">
        <v>592</v>
      </c>
      <c r="L12" s="64">
        <v>1080</v>
      </c>
      <c r="M12" s="65"/>
      <c r="N12" s="51"/>
      <c r="O12" s="51"/>
    </row>
    <row r="13" spans="1:15" ht="11.25">
      <c r="A13" s="24" t="str">
        <f>_xlfn.COMPOUNDVALUE(66)</f>
        <v>40-44 ans</v>
      </c>
      <c r="B13" s="64">
        <v>3756</v>
      </c>
      <c r="C13" s="64">
        <v>24</v>
      </c>
      <c r="D13" s="64">
        <v>164</v>
      </c>
      <c r="E13" s="64">
        <v>149</v>
      </c>
      <c r="F13" s="64">
        <v>225</v>
      </c>
      <c r="G13" s="64">
        <v>182</v>
      </c>
      <c r="H13" s="64">
        <v>335</v>
      </c>
      <c r="I13" s="64">
        <v>490</v>
      </c>
      <c r="J13" s="64">
        <v>590</v>
      </c>
      <c r="K13" s="64">
        <v>644</v>
      </c>
      <c r="L13" s="64">
        <v>953</v>
      </c>
      <c r="M13" s="65"/>
      <c r="N13" s="51"/>
      <c r="O13" s="51"/>
    </row>
    <row r="14" spans="1:15" ht="11.25">
      <c r="A14" s="24" t="str">
        <f>_xlfn.COMPOUNDVALUE(67)</f>
        <v>45-49 ans</v>
      </c>
      <c r="B14" s="64">
        <v>3284</v>
      </c>
      <c r="C14" s="64">
        <v>170</v>
      </c>
      <c r="D14" s="64">
        <v>98</v>
      </c>
      <c r="E14" s="64">
        <v>106</v>
      </c>
      <c r="F14" s="64">
        <v>229</v>
      </c>
      <c r="G14" s="64">
        <v>324</v>
      </c>
      <c r="H14" s="64">
        <v>419</v>
      </c>
      <c r="I14" s="64">
        <v>367</v>
      </c>
      <c r="J14" s="64">
        <v>424</v>
      </c>
      <c r="K14" s="64">
        <v>452</v>
      </c>
      <c r="L14" s="64">
        <v>695</v>
      </c>
      <c r="M14" s="65"/>
      <c r="N14" s="51"/>
      <c r="O14" s="51"/>
    </row>
    <row r="15" spans="1:15" ht="11.25">
      <c r="A15" s="24" t="str">
        <f>_xlfn.COMPOUNDVALUE(68)</f>
        <v>50-54 ans</v>
      </c>
      <c r="B15" s="64">
        <v>2871</v>
      </c>
      <c r="C15" s="64">
        <v>201</v>
      </c>
      <c r="D15" s="64">
        <v>68</v>
      </c>
      <c r="E15" s="64">
        <v>120</v>
      </c>
      <c r="F15" s="64">
        <v>312</v>
      </c>
      <c r="G15" s="64">
        <v>313</v>
      </c>
      <c r="H15" s="64">
        <v>316</v>
      </c>
      <c r="I15" s="64">
        <v>276</v>
      </c>
      <c r="J15" s="64">
        <v>330</v>
      </c>
      <c r="K15" s="64">
        <v>390</v>
      </c>
      <c r="L15" s="64">
        <v>545</v>
      </c>
      <c r="M15" s="65"/>
      <c r="N15" s="51"/>
      <c r="O15" s="51"/>
    </row>
    <row r="16" spans="1:15" ht="11.25">
      <c r="A16" s="24" t="str">
        <f>_xlfn.COMPOUNDVALUE(69)</f>
        <v>55-59 ans</v>
      </c>
      <c r="B16" s="64">
        <v>2210</v>
      </c>
      <c r="C16" s="64">
        <v>130</v>
      </c>
      <c r="D16" s="64">
        <v>64</v>
      </c>
      <c r="E16" s="64">
        <v>193</v>
      </c>
      <c r="F16" s="64">
        <v>268</v>
      </c>
      <c r="G16" s="64">
        <v>193</v>
      </c>
      <c r="H16" s="64">
        <v>249</v>
      </c>
      <c r="I16" s="64">
        <v>254</v>
      </c>
      <c r="J16" s="64">
        <v>257</v>
      </c>
      <c r="K16" s="64">
        <v>251</v>
      </c>
      <c r="L16" s="64">
        <v>351</v>
      </c>
      <c r="M16" s="65"/>
      <c r="N16" s="51"/>
      <c r="O16" s="51"/>
    </row>
    <row r="17" spans="1:15" ht="11.25">
      <c r="A17" s="24" t="str">
        <f>_xlfn.COMPOUNDVALUE(70)</f>
        <v>60-64 ans</v>
      </c>
      <c r="B17" s="64">
        <v>1724</v>
      </c>
      <c r="C17" s="64">
        <v>136</v>
      </c>
      <c r="D17" s="64">
        <v>160</v>
      </c>
      <c r="E17" s="64">
        <v>158</v>
      </c>
      <c r="F17" s="64">
        <v>183</v>
      </c>
      <c r="G17" s="64">
        <v>131</v>
      </c>
      <c r="H17" s="64">
        <v>155</v>
      </c>
      <c r="I17" s="64">
        <v>178</v>
      </c>
      <c r="J17" s="64">
        <v>224</v>
      </c>
      <c r="K17" s="64">
        <v>219</v>
      </c>
      <c r="L17" s="64">
        <v>180</v>
      </c>
      <c r="M17" s="65"/>
      <c r="N17" s="51"/>
      <c r="O17" s="51"/>
    </row>
    <row r="18" spans="1:15" ht="11.25">
      <c r="A18" s="24" t="str">
        <f>_xlfn.COMPOUNDVALUE(71)</f>
        <v>65-69 ans</v>
      </c>
      <c r="B18" s="64">
        <v>1346</v>
      </c>
      <c r="C18" s="64">
        <v>251</v>
      </c>
      <c r="D18" s="64">
        <v>113</v>
      </c>
      <c r="E18" s="64">
        <v>97</v>
      </c>
      <c r="F18" s="64">
        <v>143</v>
      </c>
      <c r="G18" s="64">
        <v>109</v>
      </c>
      <c r="H18" s="64">
        <v>118</v>
      </c>
      <c r="I18" s="64">
        <v>113</v>
      </c>
      <c r="J18" s="64">
        <v>157</v>
      </c>
      <c r="K18" s="64">
        <v>164</v>
      </c>
      <c r="L18" s="64">
        <v>81</v>
      </c>
      <c r="M18" s="65"/>
      <c r="N18" s="51"/>
      <c r="O18" s="51"/>
    </row>
    <row r="19" spans="1:15" ht="11.25">
      <c r="A19" s="24" t="str">
        <f>_xlfn.COMPOUNDVALUE(72)</f>
        <v>70-74 ans</v>
      </c>
      <c r="B19" s="64">
        <v>729</v>
      </c>
      <c r="C19" s="64">
        <v>167</v>
      </c>
      <c r="D19" s="64">
        <v>90</v>
      </c>
      <c r="E19" s="64">
        <v>64</v>
      </c>
      <c r="F19" s="64">
        <v>69</v>
      </c>
      <c r="G19" s="64">
        <v>64</v>
      </c>
      <c r="H19" s="64">
        <v>52</v>
      </c>
      <c r="I19" s="64">
        <v>53</v>
      </c>
      <c r="J19" s="64">
        <v>87</v>
      </c>
      <c r="K19" s="64">
        <v>61</v>
      </c>
      <c r="L19" s="64">
        <v>22</v>
      </c>
      <c r="M19" s="50"/>
      <c r="N19" s="51"/>
      <c r="O19" s="51"/>
    </row>
    <row r="20" spans="1:15" ht="11.25">
      <c r="A20" s="24" t="str">
        <f>_xlfn.COMPOUNDVALUE(73)</f>
        <v>75-79 ans</v>
      </c>
      <c r="B20" s="64">
        <v>466</v>
      </c>
      <c r="C20" s="64">
        <v>146</v>
      </c>
      <c r="D20" s="64">
        <v>45</v>
      </c>
      <c r="E20" s="64">
        <v>50</v>
      </c>
      <c r="F20" s="64">
        <v>48</v>
      </c>
      <c r="G20" s="64">
        <v>29</v>
      </c>
      <c r="H20" s="64">
        <v>35</v>
      </c>
      <c r="I20" s="64">
        <v>20</v>
      </c>
      <c r="J20" s="64">
        <v>53</v>
      </c>
      <c r="K20" s="64">
        <v>28</v>
      </c>
      <c r="L20" s="64">
        <v>12</v>
      </c>
      <c r="M20" s="65"/>
      <c r="N20" s="51"/>
      <c r="O20" s="51"/>
    </row>
    <row r="21" spans="1:15" ht="11.25">
      <c r="A21" s="24" t="str">
        <f>_xlfn.COMPOUNDVALUE(74)</f>
        <v>80 ans et plus</v>
      </c>
      <c r="B21" s="64">
        <v>438</v>
      </c>
      <c r="C21" s="64">
        <v>179</v>
      </c>
      <c r="D21" s="64">
        <v>32</v>
      </c>
      <c r="E21" s="64">
        <v>32</v>
      </c>
      <c r="F21" s="64">
        <v>49</v>
      </c>
      <c r="G21" s="64">
        <v>13</v>
      </c>
      <c r="H21" s="64">
        <v>24</v>
      </c>
      <c r="I21" s="64">
        <v>24</v>
      </c>
      <c r="J21" s="64">
        <v>24</v>
      </c>
      <c r="K21" s="64">
        <v>29</v>
      </c>
      <c r="L21" s="64">
        <v>32</v>
      </c>
      <c r="M21" s="66"/>
      <c r="N21" s="51"/>
      <c r="O21" s="51"/>
    </row>
    <row r="22" spans="1:15" ht="11.25">
      <c r="A22" s="22" t="str">
        <f>_xlfn.COMPOUNDVALUE(56)</f>
        <v>Homme</v>
      </c>
      <c r="B22" s="63">
        <v>17216</v>
      </c>
      <c r="C22" s="63">
        <v>913</v>
      </c>
      <c r="D22" s="63">
        <v>565</v>
      </c>
      <c r="E22" s="63">
        <v>714</v>
      </c>
      <c r="F22" s="63">
        <v>1166</v>
      </c>
      <c r="G22" s="63">
        <v>1065</v>
      </c>
      <c r="H22" s="63">
        <v>1403</v>
      </c>
      <c r="I22" s="63">
        <v>1582</v>
      </c>
      <c r="J22" s="63">
        <v>2269</v>
      </c>
      <c r="K22" s="63">
        <v>2850</v>
      </c>
      <c r="L22" s="63">
        <v>4689</v>
      </c>
      <c r="M22" s="66"/>
      <c r="N22" s="51"/>
      <c r="O22" s="51"/>
    </row>
    <row r="23" spans="1:15" ht="11.25">
      <c r="A23" s="24" t="str">
        <f>_xlfn.COMPOUNDVALUE(58)</f>
        <v>Moins de 5 ans</v>
      </c>
      <c r="B23" s="64">
        <v>396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59</v>
      </c>
      <c r="L23" s="20">
        <v>337</v>
      </c>
      <c r="M23" s="66"/>
      <c r="N23" s="51"/>
      <c r="O23" s="51"/>
    </row>
    <row r="24" spans="1:15" ht="11.25">
      <c r="A24" s="24" t="str">
        <f>_xlfn.COMPOUNDVALUE(59)</f>
        <v>5-9 ans</v>
      </c>
      <c r="B24" s="64">
        <v>713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20</v>
      </c>
      <c r="K24" s="20">
        <v>269</v>
      </c>
      <c r="L24" s="20">
        <v>424</v>
      </c>
      <c r="M24" s="66"/>
      <c r="N24" s="51"/>
      <c r="O24" s="51"/>
    </row>
    <row r="25" spans="1:15" ht="11.25">
      <c r="A25" s="24" t="str">
        <f>_xlfn.COMPOUNDVALUE(60)</f>
        <v>10-14 ans</v>
      </c>
      <c r="B25" s="64">
        <v>808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1</v>
      </c>
      <c r="I25" s="20">
        <v>22</v>
      </c>
      <c r="J25" s="20">
        <v>166</v>
      </c>
      <c r="K25" s="20">
        <v>233</v>
      </c>
      <c r="L25" s="20">
        <v>386</v>
      </c>
      <c r="M25" s="65"/>
      <c r="N25" s="51"/>
      <c r="O25" s="51"/>
    </row>
    <row r="26" spans="1:15" ht="11.25">
      <c r="A26" s="24" t="str">
        <f>_xlfn.COMPOUNDVALUE(61)</f>
        <v>15-19 ans</v>
      </c>
      <c r="B26" s="64">
        <v>569</v>
      </c>
      <c r="C26" s="20">
        <v>1</v>
      </c>
      <c r="D26" s="20">
        <v>0</v>
      </c>
      <c r="E26" s="20">
        <v>0</v>
      </c>
      <c r="F26" s="20">
        <v>1</v>
      </c>
      <c r="G26" s="20">
        <v>0</v>
      </c>
      <c r="H26" s="20">
        <v>18</v>
      </c>
      <c r="I26" s="20">
        <v>118</v>
      </c>
      <c r="J26" s="20">
        <v>101</v>
      </c>
      <c r="K26" s="20">
        <v>122</v>
      </c>
      <c r="L26" s="20">
        <v>208</v>
      </c>
      <c r="M26" s="65"/>
      <c r="N26" s="51"/>
      <c r="O26" s="51"/>
    </row>
    <row r="27" spans="1:15" ht="11.25">
      <c r="A27" s="24" t="str">
        <f>_xlfn.COMPOUNDVALUE(62)</f>
        <v>20-24 ans</v>
      </c>
      <c r="B27" s="64">
        <v>456</v>
      </c>
      <c r="C27" s="20">
        <v>1</v>
      </c>
      <c r="D27" s="20">
        <v>0</v>
      </c>
      <c r="E27" s="20">
        <v>0</v>
      </c>
      <c r="F27" s="20">
        <v>0</v>
      </c>
      <c r="G27" s="20">
        <v>7</v>
      </c>
      <c r="H27" s="20">
        <v>77</v>
      </c>
      <c r="I27" s="20">
        <v>62</v>
      </c>
      <c r="J27" s="20">
        <v>70</v>
      </c>
      <c r="K27" s="20">
        <v>66</v>
      </c>
      <c r="L27" s="20">
        <v>173</v>
      </c>
      <c r="M27" s="65"/>
      <c r="N27" s="51"/>
      <c r="O27" s="51"/>
    </row>
    <row r="28" spans="1:15" ht="11.25">
      <c r="A28" s="24" t="str">
        <f>_xlfn.COMPOUNDVALUE(63)</f>
        <v>25-29 ans</v>
      </c>
      <c r="B28" s="64">
        <v>867</v>
      </c>
      <c r="C28" s="20">
        <v>0</v>
      </c>
      <c r="D28" s="20">
        <v>1</v>
      </c>
      <c r="E28" s="20">
        <v>1</v>
      </c>
      <c r="F28" s="20">
        <v>15</v>
      </c>
      <c r="G28" s="20">
        <v>72</v>
      </c>
      <c r="H28" s="20">
        <v>60</v>
      </c>
      <c r="I28" s="20">
        <v>37</v>
      </c>
      <c r="J28" s="20">
        <v>84</v>
      </c>
      <c r="K28" s="20">
        <v>185</v>
      </c>
      <c r="L28" s="20">
        <v>412</v>
      </c>
      <c r="M28" s="65"/>
      <c r="N28" s="51"/>
      <c r="O28" s="51"/>
    </row>
    <row r="29" spans="1:15" ht="11.25">
      <c r="A29" s="24" t="str">
        <f>_xlfn.COMPOUNDVALUE(64)</f>
        <v>30-34 ans</v>
      </c>
      <c r="B29" s="64">
        <v>1359</v>
      </c>
      <c r="C29" s="20">
        <v>1</v>
      </c>
      <c r="D29" s="20">
        <v>0</v>
      </c>
      <c r="E29" s="20">
        <v>17</v>
      </c>
      <c r="F29" s="20">
        <v>110</v>
      </c>
      <c r="G29" s="20">
        <v>71</v>
      </c>
      <c r="H29" s="20">
        <v>76</v>
      </c>
      <c r="I29" s="20">
        <v>87</v>
      </c>
      <c r="J29" s="20">
        <v>204</v>
      </c>
      <c r="K29" s="20">
        <v>304</v>
      </c>
      <c r="L29" s="20">
        <v>489</v>
      </c>
      <c r="M29" s="65"/>
      <c r="N29" s="51"/>
      <c r="O29" s="51"/>
    </row>
    <row r="30" spans="1:15" ht="11.25">
      <c r="A30" s="24" t="str">
        <f>_xlfn.COMPOUNDVALUE(65)</f>
        <v>35-39 ans</v>
      </c>
      <c r="B30" s="64">
        <v>1822</v>
      </c>
      <c r="C30" s="20">
        <v>0</v>
      </c>
      <c r="D30" s="20">
        <v>23</v>
      </c>
      <c r="E30" s="20">
        <v>101</v>
      </c>
      <c r="F30" s="20">
        <v>126</v>
      </c>
      <c r="G30" s="20">
        <v>71</v>
      </c>
      <c r="H30" s="20">
        <v>96</v>
      </c>
      <c r="I30" s="20">
        <v>184</v>
      </c>
      <c r="J30" s="20">
        <v>329</v>
      </c>
      <c r="K30" s="20">
        <v>295</v>
      </c>
      <c r="L30" s="20">
        <v>597</v>
      </c>
      <c r="M30" s="65"/>
      <c r="N30" s="51"/>
      <c r="O30" s="51"/>
    </row>
    <row r="31" spans="1:15" ht="11.25">
      <c r="A31" s="24" t="str">
        <f>_xlfn.COMPOUNDVALUE(66)</f>
        <v>40-44 ans</v>
      </c>
      <c r="B31" s="64">
        <v>2112</v>
      </c>
      <c r="C31" s="20">
        <v>13</v>
      </c>
      <c r="D31" s="20">
        <v>87</v>
      </c>
      <c r="E31" s="20">
        <v>75</v>
      </c>
      <c r="F31" s="20">
        <v>121</v>
      </c>
      <c r="G31" s="20">
        <v>99</v>
      </c>
      <c r="H31" s="20">
        <v>214</v>
      </c>
      <c r="I31" s="20">
        <v>282</v>
      </c>
      <c r="J31" s="20">
        <v>329</v>
      </c>
      <c r="K31" s="20">
        <v>364</v>
      </c>
      <c r="L31" s="20">
        <v>528</v>
      </c>
      <c r="M31" s="65"/>
      <c r="N31" s="51"/>
      <c r="O31" s="51"/>
    </row>
    <row r="32" spans="1:15" ht="11.25">
      <c r="A32" s="24" t="str">
        <f>_xlfn.COMPOUNDVALUE(67)</f>
        <v>45-49 ans</v>
      </c>
      <c r="B32" s="64">
        <v>1969</v>
      </c>
      <c r="C32" s="20">
        <v>92</v>
      </c>
      <c r="D32" s="20">
        <v>59</v>
      </c>
      <c r="E32" s="20">
        <v>63</v>
      </c>
      <c r="F32" s="20">
        <v>132</v>
      </c>
      <c r="G32" s="20">
        <v>206</v>
      </c>
      <c r="H32" s="20">
        <v>253</v>
      </c>
      <c r="I32" s="20">
        <v>233</v>
      </c>
      <c r="J32" s="20">
        <v>262</v>
      </c>
      <c r="K32" s="20">
        <v>258</v>
      </c>
      <c r="L32" s="20">
        <v>411</v>
      </c>
      <c r="M32" s="65"/>
      <c r="N32" s="51"/>
      <c r="O32" s="51"/>
    </row>
    <row r="33" spans="1:15" ht="11.25">
      <c r="A33" s="24" t="str">
        <f>_xlfn.COMPOUNDVALUE(68)</f>
        <v>50-54 ans</v>
      </c>
      <c r="B33" s="64">
        <v>1709</v>
      </c>
      <c r="C33" s="20">
        <v>103</v>
      </c>
      <c r="D33" s="20">
        <v>35</v>
      </c>
      <c r="E33" s="20">
        <v>73</v>
      </c>
      <c r="F33" s="20">
        <v>183</v>
      </c>
      <c r="G33" s="20">
        <v>195</v>
      </c>
      <c r="H33" s="20">
        <v>195</v>
      </c>
      <c r="I33" s="20">
        <v>154</v>
      </c>
      <c r="J33" s="20">
        <v>198</v>
      </c>
      <c r="K33" s="20">
        <v>237</v>
      </c>
      <c r="L33" s="20">
        <v>336</v>
      </c>
      <c r="M33" s="50"/>
      <c r="N33" s="51"/>
      <c r="O33" s="51"/>
    </row>
    <row r="34" spans="1:15" ht="11.25">
      <c r="A34" s="24" t="str">
        <f>_xlfn.COMPOUNDVALUE(69)</f>
        <v>55-59 ans</v>
      </c>
      <c r="B34" s="64">
        <v>1340</v>
      </c>
      <c r="C34" s="20">
        <v>74</v>
      </c>
      <c r="D34" s="20">
        <v>43</v>
      </c>
      <c r="E34" s="20">
        <v>114</v>
      </c>
      <c r="F34" s="20">
        <v>162</v>
      </c>
      <c r="G34" s="20">
        <v>116</v>
      </c>
      <c r="H34" s="20">
        <v>156</v>
      </c>
      <c r="I34" s="20">
        <v>154</v>
      </c>
      <c r="J34" s="20">
        <v>167</v>
      </c>
      <c r="K34" s="20">
        <v>157</v>
      </c>
      <c r="L34" s="20">
        <v>197</v>
      </c>
      <c r="M34" s="65"/>
      <c r="N34" s="51"/>
      <c r="O34" s="51"/>
    </row>
    <row r="35" spans="1:15" ht="11.25">
      <c r="A35" s="24" t="str">
        <f>_xlfn.COMPOUNDVALUE(70)</f>
        <v>60-64 ans</v>
      </c>
      <c r="B35" s="64">
        <v>1110</v>
      </c>
      <c r="C35" s="20">
        <v>90</v>
      </c>
      <c r="D35" s="20">
        <v>110</v>
      </c>
      <c r="E35" s="20">
        <v>103</v>
      </c>
      <c r="F35" s="20">
        <v>121</v>
      </c>
      <c r="G35" s="20">
        <v>80</v>
      </c>
      <c r="H35" s="20">
        <v>100</v>
      </c>
      <c r="I35" s="20">
        <v>116</v>
      </c>
      <c r="J35" s="20">
        <v>146</v>
      </c>
      <c r="K35" s="20">
        <v>132</v>
      </c>
      <c r="L35" s="20">
        <v>112</v>
      </c>
      <c r="M35" s="66"/>
      <c r="N35" s="51"/>
      <c r="O35" s="51"/>
    </row>
    <row r="36" spans="1:15" ht="11.25">
      <c r="A36" s="24" t="str">
        <f>_xlfn.COMPOUNDVALUE(71)</f>
        <v>65-69 ans</v>
      </c>
      <c r="B36" s="64">
        <v>882</v>
      </c>
      <c r="C36" s="20">
        <v>187</v>
      </c>
      <c r="D36" s="20">
        <v>80</v>
      </c>
      <c r="E36" s="20">
        <v>66</v>
      </c>
      <c r="F36" s="20">
        <v>95</v>
      </c>
      <c r="G36" s="20">
        <v>72</v>
      </c>
      <c r="H36" s="20">
        <v>82</v>
      </c>
      <c r="I36" s="20">
        <v>67</v>
      </c>
      <c r="J36" s="20">
        <v>86</v>
      </c>
      <c r="K36" s="20">
        <v>102</v>
      </c>
      <c r="L36" s="20">
        <v>45</v>
      </c>
      <c r="M36" s="66"/>
      <c r="N36" s="51"/>
      <c r="O36" s="51"/>
    </row>
    <row r="37" spans="1:15" ht="11.25">
      <c r="A37" s="24" t="str">
        <f>_xlfn.COMPOUNDVALUE(72)</f>
        <v>70-74 ans</v>
      </c>
      <c r="B37" s="64">
        <v>499</v>
      </c>
      <c r="C37" s="20">
        <v>124</v>
      </c>
      <c r="D37" s="20">
        <v>68</v>
      </c>
      <c r="E37" s="20">
        <v>45</v>
      </c>
      <c r="F37" s="20">
        <v>38</v>
      </c>
      <c r="G37" s="20">
        <v>47</v>
      </c>
      <c r="H37" s="20">
        <v>33</v>
      </c>
      <c r="I37" s="20">
        <v>38</v>
      </c>
      <c r="J37" s="20">
        <v>56</v>
      </c>
      <c r="K37" s="20">
        <v>38</v>
      </c>
      <c r="L37" s="20">
        <v>12</v>
      </c>
      <c r="M37" s="66"/>
      <c r="N37" s="51"/>
      <c r="O37" s="51"/>
    </row>
    <row r="38" spans="1:15" ht="11.25">
      <c r="A38" s="24" t="str">
        <f>_xlfn.COMPOUNDVALUE(73)</f>
        <v>75-79 ans</v>
      </c>
      <c r="B38" s="64">
        <v>323</v>
      </c>
      <c r="C38" s="20">
        <v>104</v>
      </c>
      <c r="D38" s="20">
        <v>35</v>
      </c>
      <c r="E38" s="20">
        <v>34</v>
      </c>
      <c r="F38" s="20">
        <v>29</v>
      </c>
      <c r="G38" s="20">
        <v>20</v>
      </c>
      <c r="H38" s="20">
        <v>26</v>
      </c>
      <c r="I38" s="20">
        <v>13</v>
      </c>
      <c r="J38" s="20">
        <v>35</v>
      </c>
      <c r="K38" s="20">
        <v>18</v>
      </c>
      <c r="L38" s="20">
        <v>9</v>
      </c>
      <c r="M38" s="66"/>
      <c r="N38" s="51"/>
      <c r="O38" s="51"/>
    </row>
    <row r="39" spans="1:15" ht="11.25">
      <c r="A39" s="24" t="str">
        <f>_xlfn.COMPOUNDVALUE(74)</f>
        <v>80 ans et plus</v>
      </c>
      <c r="B39" s="64">
        <v>282</v>
      </c>
      <c r="C39" s="20">
        <v>123</v>
      </c>
      <c r="D39" s="20">
        <v>24</v>
      </c>
      <c r="E39" s="20">
        <v>22</v>
      </c>
      <c r="F39" s="20">
        <v>33</v>
      </c>
      <c r="G39" s="20">
        <v>9</v>
      </c>
      <c r="H39" s="20">
        <v>16</v>
      </c>
      <c r="I39" s="20">
        <v>15</v>
      </c>
      <c r="J39" s="20">
        <v>16</v>
      </c>
      <c r="K39" s="20">
        <v>11</v>
      </c>
      <c r="L39" s="20">
        <v>13</v>
      </c>
      <c r="M39" s="65"/>
      <c r="N39" s="51"/>
      <c r="O39" s="51"/>
    </row>
    <row r="40" spans="1:15" ht="11.25">
      <c r="A40" s="22" t="str">
        <f>_xlfn.COMPOUNDVALUE(56)</f>
        <v>Femme</v>
      </c>
      <c r="B40" s="63">
        <v>13154</v>
      </c>
      <c r="C40" s="41">
        <v>497</v>
      </c>
      <c r="D40" s="41">
        <v>312</v>
      </c>
      <c r="E40" s="41">
        <v>499</v>
      </c>
      <c r="F40" s="41">
        <v>861</v>
      </c>
      <c r="G40" s="41">
        <v>741</v>
      </c>
      <c r="H40" s="41">
        <v>877</v>
      </c>
      <c r="I40" s="41">
        <v>1175</v>
      </c>
      <c r="J40" s="41">
        <v>1724</v>
      </c>
      <c r="K40" s="41">
        <v>2374</v>
      </c>
      <c r="L40" s="41">
        <v>4094</v>
      </c>
      <c r="M40" s="65"/>
      <c r="N40" s="51"/>
      <c r="O40" s="51"/>
    </row>
    <row r="41" spans="1:15" ht="11.25">
      <c r="A41" s="24" t="str">
        <f>_xlfn.COMPOUNDVALUE(58)</f>
        <v>Moins de 5 ans</v>
      </c>
      <c r="B41" s="64">
        <v>386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40</v>
      </c>
      <c r="L41" s="20">
        <v>346</v>
      </c>
      <c r="M41" s="65"/>
      <c r="N41" s="51"/>
      <c r="O41" s="51"/>
    </row>
    <row r="42" spans="1:15" ht="11.25">
      <c r="A42" s="24" t="str">
        <f>_xlfn.COMPOUNDVALUE(59)</f>
        <v>5-9 ans</v>
      </c>
      <c r="B42" s="64">
        <v>627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26</v>
      </c>
      <c r="K42" s="20">
        <v>224</v>
      </c>
      <c r="L42" s="20">
        <v>377</v>
      </c>
      <c r="M42" s="65"/>
      <c r="N42" s="51"/>
      <c r="O42" s="51"/>
    </row>
    <row r="43" spans="1:15" ht="11.25">
      <c r="A43" s="24" t="str">
        <f>_xlfn.COMPOUNDVALUE(60)</f>
        <v>10-14 ans</v>
      </c>
      <c r="B43" s="64">
        <v>807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31</v>
      </c>
      <c r="J43" s="20">
        <v>172</v>
      </c>
      <c r="K43" s="20">
        <v>238</v>
      </c>
      <c r="L43" s="20">
        <v>366</v>
      </c>
      <c r="M43" s="65"/>
      <c r="N43" s="51"/>
      <c r="O43" s="51"/>
    </row>
    <row r="44" spans="1:15" ht="11.25">
      <c r="A44" s="24" t="str">
        <f>_xlfn.COMPOUNDVALUE(61)</f>
        <v>15-19 ans</v>
      </c>
      <c r="B44" s="64">
        <v>587</v>
      </c>
      <c r="C44" s="20">
        <v>0</v>
      </c>
      <c r="D44" s="20">
        <v>0</v>
      </c>
      <c r="E44" s="20">
        <v>0</v>
      </c>
      <c r="F44" s="20">
        <v>1</v>
      </c>
      <c r="G44" s="20">
        <v>0</v>
      </c>
      <c r="H44" s="20">
        <v>10</v>
      </c>
      <c r="I44" s="20">
        <v>122</v>
      </c>
      <c r="J44" s="20">
        <v>119</v>
      </c>
      <c r="K44" s="20">
        <v>132</v>
      </c>
      <c r="L44" s="20">
        <v>203</v>
      </c>
      <c r="M44" s="65"/>
      <c r="N44" s="51"/>
      <c r="O44" s="51"/>
    </row>
    <row r="45" spans="1:15" ht="11.25">
      <c r="A45" s="24" t="str">
        <f>_xlfn.COMPOUNDVALUE(62)</f>
        <v>20-24 ans</v>
      </c>
      <c r="B45" s="64">
        <v>438</v>
      </c>
      <c r="C45" s="20">
        <v>0</v>
      </c>
      <c r="D45" s="20">
        <v>0</v>
      </c>
      <c r="E45" s="20">
        <v>1</v>
      </c>
      <c r="F45" s="20">
        <v>0</v>
      </c>
      <c r="G45" s="20">
        <v>11</v>
      </c>
      <c r="H45" s="20">
        <v>66</v>
      </c>
      <c r="I45" s="20">
        <v>63</v>
      </c>
      <c r="J45" s="20">
        <v>65</v>
      </c>
      <c r="K45" s="20">
        <v>64</v>
      </c>
      <c r="L45" s="20">
        <v>168</v>
      </c>
      <c r="M45" s="65"/>
      <c r="N45" s="51"/>
      <c r="O45" s="51"/>
    </row>
    <row r="46" spans="1:15" ht="11.25">
      <c r="A46" s="24" t="str">
        <f>_xlfn.COMPOUNDVALUE(63)</f>
        <v>25-29 ans</v>
      </c>
      <c r="B46" s="64">
        <v>871</v>
      </c>
      <c r="C46" s="20">
        <v>2</v>
      </c>
      <c r="D46" s="20">
        <v>0</v>
      </c>
      <c r="E46" s="20">
        <v>1</v>
      </c>
      <c r="F46" s="20">
        <v>11</v>
      </c>
      <c r="G46" s="20">
        <v>74</v>
      </c>
      <c r="H46" s="20">
        <v>60</v>
      </c>
      <c r="I46" s="20">
        <v>43</v>
      </c>
      <c r="J46" s="20">
        <v>72</v>
      </c>
      <c r="K46" s="20">
        <v>171</v>
      </c>
      <c r="L46" s="20">
        <v>437</v>
      </c>
      <c r="M46" s="65"/>
      <c r="N46" s="51"/>
      <c r="O46" s="51"/>
    </row>
    <row r="47" spans="1:15" ht="11.25">
      <c r="A47" s="24" t="str">
        <f>_xlfn.COMPOUNDVALUE(64)</f>
        <v>30-34 ans</v>
      </c>
      <c r="B47" s="64">
        <v>1320</v>
      </c>
      <c r="C47" s="20">
        <v>1</v>
      </c>
      <c r="D47" s="20">
        <v>0</v>
      </c>
      <c r="E47" s="20">
        <v>24</v>
      </c>
      <c r="F47" s="20">
        <v>118</v>
      </c>
      <c r="G47" s="20">
        <v>77</v>
      </c>
      <c r="H47" s="20">
        <v>43</v>
      </c>
      <c r="I47" s="20">
        <v>77</v>
      </c>
      <c r="J47" s="20">
        <v>187</v>
      </c>
      <c r="K47" s="20">
        <v>287</v>
      </c>
      <c r="L47" s="20">
        <v>506</v>
      </c>
      <c r="M47" s="50"/>
      <c r="N47" s="51"/>
      <c r="O47" s="51"/>
    </row>
    <row r="48" spans="1:15" ht="11.25">
      <c r="A48" s="24" t="str">
        <f>_xlfn.COMPOUNDVALUE(65)</f>
        <v>35-39 ans</v>
      </c>
      <c r="B48" s="64">
        <v>1520</v>
      </c>
      <c r="C48" s="20">
        <v>0</v>
      </c>
      <c r="D48" s="20">
        <v>19</v>
      </c>
      <c r="E48" s="20">
        <v>99</v>
      </c>
      <c r="F48" s="20">
        <v>119</v>
      </c>
      <c r="G48" s="20">
        <v>65</v>
      </c>
      <c r="H48" s="20">
        <v>70</v>
      </c>
      <c r="I48" s="20">
        <v>136</v>
      </c>
      <c r="J48" s="20">
        <v>232</v>
      </c>
      <c r="K48" s="20">
        <v>297</v>
      </c>
      <c r="L48" s="20">
        <v>483</v>
      </c>
      <c r="M48" s="65"/>
      <c r="N48" s="51"/>
      <c r="O48" s="51"/>
    </row>
    <row r="49" spans="1:15" ht="11.25">
      <c r="A49" s="24" t="str">
        <f>_xlfn.COMPOUNDVALUE(66)</f>
        <v>40-44 ans</v>
      </c>
      <c r="B49" s="64">
        <v>1644</v>
      </c>
      <c r="C49" s="20">
        <v>11</v>
      </c>
      <c r="D49" s="20">
        <v>77</v>
      </c>
      <c r="E49" s="20">
        <v>74</v>
      </c>
      <c r="F49" s="20">
        <v>104</v>
      </c>
      <c r="G49" s="20">
        <v>83</v>
      </c>
      <c r="H49" s="20">
        <v>121</v>
      </c>
      <c r="I49" s="20">
        <v>208</v>
      </c>
      <c r="J49" s="20">
        <v>261</v>
      </c>
      <c r="K49" s="20">
        <v>280</v>
      </c>
      <c r="L49" s="20">
        <v>425</v>
      </c>
      <c r="M49" s="66"/>
      <c r="N49" s="51"/>
      <c r="O49" s="51"/>
    </row>
    <row r="50" spans="1:15" ht="11.25">
      <c r="A50" s="24" t="str">
        <f>_xlfn.COMPOUNDVALUE(67)</f>
        <v>45-49 ans</v>
      </c>
      <c r="B50" s="64">
        <v>1315</v>
      </c>
      <c r="C50" s="20">
        <v>78</v>
      </c>
      <c r="D50" s="20">
        <v>39</v>
      </c>
      <c r="E50" s="20">
        <v>43</v>
      </c>
      <c r="F50" s="20">
        <v>97</v>
      </c>
      <c r="G50" s="20">
        <v>118</v>
      </c>
      <c r="H50" s="20">
        <v>166</v>
      </c>
      <c r="I50" s="20">
        <v>134</v>
      </c>
      <c r="J50" s="20">
        <v>162</v>
      </c>
      <c r="K50" s="20">
        <v>194</v>
      </c>
      <c r="L50" s="20">
        <v>284</v>
      </c>
      <c r="M50" s="66"/>
      <c r="N50" s="51"/>
      <c r="O50" s="51"/>
    </row>
    <row r="51" spans="1:15" ht="11.25">
      <c r="A51" s="24" t="str">
        <f>_xlfn.COMPOUNDVALUE(68)</f>
        <v>50-54 ans</v>
      </c>
      <c r="B51" s="64">
        <v>1162</v>
      </c>
      <c r="C51" s="20">
        <v>98</v>
      </c>
      <c r="D51" s="20">
        <v>33</v>
      </c>
      <c r="E51" s="20">
        <v>47</v>
      </c>
      <c r="F51" s="20">
        <v>129</v>
      </c>
      <c r="G51" s="20">
        <v>118</v>
      </c>
      <c r="H51" s="20">
        <v>121</v>
      </c>
      <c r="I51" s="20">
        <v>122</v>
      </c>
      <c r="J51" s="20">
        <v>132</v>
      </c>
      <c r="K51" s="20">
        <v>153</v>
      </c>
      <c r="L51" s="20">
        <v>209</v>
      </c>
      <c r="M51" s="66"/>
      <c r="N51" s="51"/>
      <c r="O51" s="51"/>
    </row>
    <row r="52" spans="1:15" ht="11.25">
      <c r="A52" s="24" t="str">
        <f>_xlfn.COMPOUNDVALUE(69)</f>
        <v>55-59 ans</v>
      </c>
      <c r="B52" s="64">
        <v>870</v>
      </c>
      <c r="C52" s="20">
        <v>56</v>
      </c>
      <c r="D52" s="20">
        <v>21</v>
      </c>
      <c r="E52" s="20">
        <v>79</v>
      </c>
      <c r="F52" s="20">
        <v>106</v>
      </c>
      <c r="G52" s="20">
        <v>77</v>
      </c>
      <c r="H52" s="20">
        <v>93</v>
      </c>
      <c r="I52" s="20">
        <v>100</v>
      </c>
      <c r="J52" s="20">
        <v>90</v>
      </c>
      <c r="K52" s="20">
        <v>94</v>
      </c>
      <c r="L52" s="20">
        <v>154</v>
      </c>
      <c r="M52" s="66"/>
      <c r="N52" s="51"/>
      <c r="O52" s="51"/>
    </row>
    <row r="53" spans="1:15" ht="11.25">
      <c r="A53" s="24" t="str">
        <f>_xlfn.COMPOUNDVALUE(70)</f>
        <v>60-64 ans</v>
      </c>
      <c r="B53" s="64">
        <v>614</v>
      </c>
      <c r="C53" s="20">
        <v>46</v>
      </c>
      <c r="D53" s="20">
        <v>50</v>
      </c>
      <c r="E53" s="20">
        <v>55</v>
      </c>
      <c r="F53" s="20">
        <v>62</v>
      </c>
      <c r="G53" s="20">
        <v>51</v>
      </c>
      <c r="H53" s="20">
        <v>55</v>
      </c>
      <c r="I53" s="20">
        <v>62</v>
      </c>
      <c r="J53" s="20">
        <v>78</v>
      </c>
      <c r="K53" s="20">
        <v>87</v>
      </c>
      <c r="L53" s="20">
        <v>68</v>
      </c>
      <c r="M53" s="65"/>
      <c r="N53" s="51"/>
      <c r="O53" s="51"/>
    </row>
    <row r="54" spans="1:15" ht="11.25">
      <c r="A54" s="24" t="str">
        <f>_xlfn.COMPOUNDVALUE(71)</f>
        <v>65-69 ans</v>
      </c>
      <c r="B54" s="64">
        <v>464</v>
      </c>
      <c r="C54" s="20">
        <v>64</v>
      </c>
      <c r="D54" s="20">
        <v>33</v>
      </c>
      <c r="E54" s="20">
        <v>31</v>
      </c>
      <c r="F54" s="20">
        <v>48</v>
      </c>
      <c r="G54" s="20">
        <v>37</v>
      </c>
      <c r="H54" s="20">
        <v>36</v>
      </c>
      <c r="I54" s="20">
        <v>46</v>
      </c>
      <c r="J54" s="20">
        <v>71</v>
      </c>
      <c r="K54" s="20">
        <v>62</v>
      </c>
      <c r="L54" s="20">
        <v>36</v>
      </c>
      <c r="M54" s="65"/>
      <c r="N54" s="51"/>
      <c r="O54" s="51"/>
    </row>
    <row r="55" spans="1:15" ht="11.25">
      <c r="A55" s="24" t="str">
        <f>_xlfn.COMPOUNDVALUE(72)</f>
        <v>70-74 ans</v>
      </c>
      <c r="B55" s="64">
        <v>230</v>
      </c>
      <c r="C55" s="20">
        <v>43</v>
      </c>
      <c r="D55" s="20">
        <v>22</v>
      </c>
      <c r="E55" s="20">
        <v>19</v>
      </c>
      <c r="F55" s="20">
        <v>31</v>
      </c>
      <c r="G55" s="20">
        <v>17</v>
      </c>
      <c r="H55" s="20">
        <v>19</v>
      </c>
      <c r="I55" s="20">
        <v>15</v>
      </c>
      <c r="J55" s="20">
        <v>31</v>
      </c>
      <c r="K55" s="20">
        <v>23</v>
      </c>
      <c r="L55" s="20">
        <v>10</v>
      </c>
      <c r="M55" s="65"/>
      <c r="N55" s="51"/>
      <c r="O55" s="51"/>
    </row>
    <row r="56" spans="1:15" ht="11.25">
      <c r="A56" s="24" t="str">
        <f>_xlfn.COMPOUNDVALUE(73)</f>
        <v>75-79 ans</v>
      </c>
      <c r="B56" s="64">
        <v>143</v>
      </c>
      <c r="C56" s="20">
        <v>42</v>
      </c>
      <c r="D56" s="20">
        <v>10</v>
      </c>
      <c r="E56" s="20">
        <v>16</v>
      </c>
      <c r="F56" s="20">
        <v>19</v>
      </c>
      <c r="G56" s="20">
        <v>9</v>
      </c>
      <c r="H56" s="20">
        <v>9</v>
      </c>
      <c r="I56" s="20">
        <v>7</v>
      </c>
      <c r="J56" s="20">
        <v>18</v>
      </c>
      <c r="K56" s="20">
        <v>10</v>
      </c>
      <c r="L56" s="20">
        <v>3</v>
      </c>
      <c r="M56" s="65"/>
      <c r="N56" s="51"/>
      <c r="O56" s="51"/>
    </row>
    <row r="57" spans="1:15" ht="11.25">
      <c r="A57" s="61" t="str">
        <f>_xlfn.COMPOUNDVALUE(74)</f>
        <v>80 ans et plus</v>
      </c>
      <c r="B57" s="67">
        <v>156</v>
      </c>
      <c r="C57" s="62">
        <v>56</v>
      </c>
      <c r="D57" s="62">
        <v>8</v>
      </c>
      <c r="E57" s="62">
        <v>10</v>
      </c>
      <c r="F57" s="62">
        <v>16</v>
      </c>
      <c r="G57" s="62">
        <v>4</v>
      </c>
      <c r="H57" s="62">
        <v>8</v>
      </c>
      <c r="I57" s="62">
        <v>9</v>
      </c>
      <c r="J57" s="62">
        <v>8</v>
      </c>
      <c r="K57" s="62">
        <v>18</v>
      </c>
      <c r="L57" s="62">
        <v>19</v>
      </c>
      <c r="M57" s="65"/>
      <c r="N57" s="51"/>
      <c r="O57" s="51"/>
    </row>
    <row r="58" spans="13:15" ht="11.25">
      <c r="M58" s="65"/>
      <c r="N58" s="51"/>
      <c r="O58" s="51"/>
    </row>
    <row r="59" spans="1:15" ht="11.25">
      <c r="A59" s="17" t="s">
        <v>127</v>
      </c>
      <c r="K59" s="29"/>
      <c r="L59" s="29" t="s">
        <v>37</v>
      </c>
      <c r="M59" s="65"/>
      <c r="N59" s="51"/>
      <c r="O59" s="51"/>
    </row>
    <row r="60" spans="14:15" ht="11.25">
      <c r="N60" s="51"/>
      <c r="O60" s="51"/>
    </row>
    <row r="61" spans="13:15" ht="11.25">
      <c r="M61" s="50"/>
      <c r="N61" s="51"/>
      <c r="O61" s="51"/>
    </row>
    <row r="62" spans="13:15" ht="11.25">
      <c r="M62" s="65"/>
      <c r="N62" s="51"/>
      <c r="O62" s="51"/>
    </row>
    <row r="63" spans="13:15" ht="11.25">
      <c r="M63" s="66"/>
      <c r="N63" s="51"/>
      <c r="O63" s="51"/>
    </row>
    <row r="64" spans="13:15" ht="11.25">
      <c r="M64" s="66"/>
      <c r="N64" s="51"/>
      <c r="O64" s="51"/>
    </row>
    <row r="65" spans="13:15" ht="11.25">
      <c r="M65" s="66"/>
      <c r="N65" s="51"/>
      <c r="O65" s="51"/>
    </row>
    <row r="66" spans="13:15" ht="11.25">
      <c r="M66" s="66"/>
      <c r="N66" s="51"/>
      <c r="O66" s="51"/>
    </row>
    <row r="67" spans="13:15" ht="11.25">
      <c r="M67" s="65"/>
      <c r="N67" s="51"/>
      <c r="O67" s="51"/>
    </row>
    <row r="68" spans="13:15" ht="11.25">
      <c r="M68" s="65"/>
      <c r="N68" s="51"/>
      <c r="O68" s="51"/>
    </row>
    <row r="69" spans="13:15" ht="11.25">
      <c r="M69" s="65"/>
      <c r="N69" s="51"/>
      <c r="O69" s="51"/>
    </row>
    <row r="70" spans="13:15" ht="11.25">
      <c r="M70" s="65"/>
      <c r="N70" s="51"/>
      <c r="O70" s="51"/>
    </row>
    <row r="71" spans="13:15" ht="11.25">
      <c r="M71" s="65"/>
      <c r="N71" s="51"/>
      <c r="O71" s="51"/>
    </row>
    <row r="72" spans="13:15" ht="11.25">
      <c r="M72" s="65"/>
      <c r="N72" s="51"/>
      <c r="O72" s="51"/>
    </row>
    <row r="73" spans="13:15" ht="11.25">
      <c r="M73" s="65"/>
      <c r="N73" s="51"/>
      <c r="O73" s="51"/>
    </row>
    <row r="74" spans="13:15" ht="11.25">
      <c r="M74" s="65"/>
      <c r="N74" s="51"/>
      <c r="O74" s="51"/>
    </row>
    <row r="75" spans="13:15" ht="11.25">
      <c r="M75" s="50"/>
      <c r="N75" s="51"/>
      <c r="O75" s="51"/>
    </row>
  </sheetData>
  <sheetProtection/>
  <mergeCells count="2">
    <mergeCell ref="A1:K1"/>
    <mergeCell ref="C2:L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headerFooter>
    <oddFooter>&amp;LMigrations  &amp;P /&amp;N&amp;R&amp;G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showGridLines="0" zoomScalePageLayoutView="0" workbookViewId="0" topLeftCell="A1">
      <selection activeCell="A4" sqref="A4:L63"/>
    </sheetView>
  </sheetViews>
  <sheetFormatPr defaultColWidth="12" defaultRowHeight="11.25"/>
  <cols>
    <col min="1" max="1" width="17" style="28" customWidth="1"/>
    <col min="2" max="2" width="8.83203125" style="49" customWidth="1"/>
    <col min="3" max="3" width="7.83203125" style="20" customWidth="1"/>
    <col min="4" max="11" width="9.33203125" style="20" customWidth="1"/>
    <col min="12" max="12" width="9.16015625" style="20" customWidth="1"/>
    <col min="13" max="16384" width="12" style="20" customWidth="1"/>
  </cols>
  <sheetData>
    <row r="1" spans="1:11" ht="29.25" customHeight="1">
      <c r="A1" s="85" t="s">
        <v>128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2" ht="14.25" customHeight="1">
      <c r="A2" s="20"/>
      <c r="B2" s="20"/>
      <c r="C2" s="88" t="s">
        <v>106</v>
      </c>
      <c r="D2" s="88"/>
      <c r="E2" s="88"/>
      <c r="F2" s="88"/>
      <c r="G2" s="88"/>
      <c r="H2" s="88"/>
      <c r="I2" s="88"/>
      <c r="J2" s="88"/>
      <c r="K2" s="88"/>
      <c r="L2" s="88"/>
    </row>
    <row r="3" spans="1:12" ht="22.5">
      <c r="A3" s="58" t="s">
        <v>101</v>
      </c>
      <c r="B3" s="59" t="str">
        <f>_xlfn.COMPOUNDVALUE(57)</f>
        <v>Ensemble</v>
      </c>
      <c r="C3" s="38" t="str">
        <f>_xlfn.COMPOUNDVALUE(6)</f>
        <v>Avant 1970</v>
      </c>
      <c r="D3" s="38" t="str">
        <f>_xlfn.COMPOUNDVALUE(7)</f>
        <v>De 1970 à 1974</v>
      </c>
      <c r="E3" s="38" t="str">
        <f>_xlfn.COMPOUNDVALUE(8)</f>
        <v>De 1975 à 1979</v>
      </c>
      <c r="F3" s="38" t="str">
        <f>_xlfn.COMPOUNDVALUE(9)</f>
        <v>De 1980 à 1984</v>
      </c>
      <c r="G3" s="38" t="str">
        <f>_xlfn.COMPOUNDVALUE(10)</f>
        <v>De 1985 à 1989</v>
      </c>
      <c r="H3" s="38" t="str">
        <f>_xlfn.COMPOUNDVALUE(11)</f>
        <v>De 1990 à 1994</v>
      </c>
      <c r="I3" s="38" t="str">
        <f>_xlfn.COMPOUNDVALUE(12)</f>
        <v>De 1995 à 1999</v>
      </c>
      <c r="J3" s="38" t="str">
        <f>_xlfn.COMPOUNDVALUE(13)</f>
        <v>De 2000 à 2004</v>
      </c>
      <c r="K3" s="38" t="s">
        <v>47</v>
      </c>
      <c r="L3" s="38" t="s">
        <v>108</v>
      </c>
    </row>
    <row r="4" spans="1:12" ht="11.25">
      <c r="A4" s="22" t="str">
        <f>_xlfn.COMPOUNDVALUE(56)</f>
        <v>Ensemble</v>
      </c>
      <c r="B4" s="41">
        <v>30370</v>
      </c>
      <c r="C4" s="41">
        <v>1410</v>
      </c>
      <c r="D4" s="41">
        <v>877</v>
      </c>
      <c r="E4" s="41">
        <v>1213</v>
      </c>
      <c r="F4" s="41">
        <v>2027</v>
      </c>
      <c r="G4" s="41">
        <v>1806</v>
      </c>
      <c r="H4" s="41">
        <v>2280</v>
      </c>
      <c r="I4" s="41">
        <v>2757</v>
      </c>
      <c r="J4" s="41">
        <v>3993</v>
      </c>
      <c r="K4" s="41">
        <v>5224</v>
      </c>
      <c r="L4" s="41">
        <v>8783</v>
      </c>
    </row>
    <row r="5" spans="1:12" ht="11.25">
      <c r="A5" s="24" t="str">
        <f>_xlfn.COMPOUNDVALUE(30)</f>
        <v>Moins de 10 ans</v>
      </c>
      <c r="B5" s="20">
        <v>2122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46</v>
      </c>
      <c r="K5" s="20">
        <v>592</v>
      </c>
      <c r="L5" s="20">
        <v>1484</v>
      </c>
    </row>
    <row r="6" spans="1:12" ht="11.25">
      <c r="A6" s="24" t="str">
        <f>_xlfn.COMPOUNDVALUE(31)</f>
        <v>10-19 ans</v>
      </c>
      <c r="B6" s="20">
        <v>2771</v>
      </c>
      <c r="C6" s="20">
        <v>1</v>
      </c>
      <c r="D6" s="20">
        <v>0</v>
      </c>
      <c r="E6" s="20">
        <v>0</v>
      </c>
      <c r="F6" s="20">
        <v>2</v>
      </c>
      <c r="G6" s="20">
        <v>0</v>
      </c>
      <c r="H6" s="20">
        <v>29</v>
      </c>
      <c r="I6" s="20">
        <v>293</v>
      </c>
      <c r="J6" s="20">
        <v>558</v>
      </c>
      <c r="K6" s="20">
        <v>725</v>
      </c>
      <c r="L6" s="20">
        <v>1163</v>
      </c>
    </row>
    <row r="7" spans="1:12" ht="11.25">
      <c r="A7" s="24" t="str">
        <f>_xlfn.COMPOUNDVALUE(32)</f>
        <v>20-29 ans</v>
      </c>
      <c r="B7" s="20">
        <v>2632</v>
      </c>
      <c r="C7" s="20">
        <v>3</v>
      </c>
      <c r="D7" s="20">
        <v>1</v>
      </c>
      <c r="E7" s="20">
        <v>3</v>
      </c>
      <c r="F7" s="20">
        <v>26</v>
      </c>
      <c r="G7" s="20">
        <v>164</v>
      </c>
      <c r="H7" s="20">
        <v>263</v>
      </c>
      <c r="I7" s="20">
        <v>205</v>
      </c>
      <c r="J7" s="20">
        <v>291</v>
      </c>
      <c r="K7" s="20">
        <v>486</v>
      </c>
      <c r="L7" s="20">
        <v>1190</v>
      </c>
    </row>
    <row r="8" spans="1:12" ht="11.25">
      <c r="A8" s="24" t="str">
        <f>_xlfn.COMPOUNDVALUE(33)</f>
        <v>30-39 ans</v>
      </c>
      <c r="B8" s="20">
        <v>6021</v>
      </c>
      <c r="C8" s="20">
        <v>2</v>
      </c>
      <c r="D8" s="20">
        <v>42</v>
      </c>
      <c r="E8" s="20">
        <v>241</v>
      </c>
      <c r="F8" s="20">
        <v>473</v>
      </c>
      <c r="G8" s="20">
        <v>284</v>
      </c>
      <c r="H8" s="20">
        <v>285</v>
      </c>
      <c r="I8" s="20">
        <v>484</v>
      </c>
      <c r="J8" s="20">
        <v>952</v>
      </c>
      <c r="K8" s="20">
        <v>1183</v>
      </c>
      <c r="L8" s="20">
        <v>2075</v>
      </c>
    </row>
    <row r="9" spans="1:12" ht="11.25">
      <c r="A9" s="24" t="str">
        <f>_xlfn.COMPOUNDVALUE(34)</f>
        <v>40-49 ans</v>
      </c>
      <c r="B9" s="20">
        <v>7040</v>
      </c>
      <c r="C9" s="20">
        <v>194</v>
      </c>
      <c r="D9" s="20">
        <v>262</v>
      </c>
      <c r="E9" s="20">
        <v>255</v>
      </c>
      <c r="F9" s="20">
        <v>454</v>
      </c>
      <c r="G9" s="20">
        <v>506</v>
      </c>
      <c r="H9" s="20">
        <v>754</v>
      </c>
      <c r="I9" s="20">
        <v>857</v>
      </c>
      <c r="J9" s="20">
        <v>1014</v>
      </c>
      <c r="K9" s="20">
        <v>1096</v>
      </c>
      <c r="L9" s="20">
        <v>1648</v>
      </c>
    </row>
    <row r="10" spans="1:12" ht="11.25">
      <c r="A10" s="24" t="str">
        <f>_xlfn.COMPOUNDVALUE(35)</f>
        <v>50-59 ans</v>
      </c>
      <c r="B10" s="20">
        <v>5081</v>
      </c>
      <c r="C10" s="20">
        <v>331</v>
      </c>
      <c r="D10" s="20">
        <v>132</v>
      </c>
      <c r="E10" s="20">
        <v>313</v>
      </c>
      <c r="F10" s="20">
        <v>580</v>
      </c>
      <c r="G10" s="20">
        <v>506</v>
      </c>
      <c r="H10" s="20">
        <v>565</v>
      </c>
      <c r="I10" s="20">
        <v>530</v>
      </c>
      <c r="J10" s="20">
        <v>587</v>
      </c>
      <c r="K10" s="20">
        <v>641</v>
      </c>
      <c r="L10" s="20">
        <v>896</v>
      </c>
    </row>
    <row r="11" spans="1:12" ht="11.25">
      <c r="A11" s="24" t="str">
        <f>_xlfn.COMPOUNDVALUE(36)</f>
        <v>60-69 ans</v>
      </c>
      <c r="B11" s="20">
        <v>3070</v>
      </c>
      <c r="C11" s="20">
        <v>387</v>
      </c>
      <c r="D11" s="20">
        <v>273</v>
      </c>
      <c r="E11" s="20">
        <v>255</v>
      </c>
      <c r="F11" s="20">
        <v>326</v>
      </c>
      <c r="G11" s="20">
        <v>240</v>
      </c>
      <c r="H11" s="20">
        <v>273</v>
      </c>
      <c r="I11" s="20">
        <v>291</v>
      </c>
      <c r="J11" s="20">
        <v>381</v>
      </c>
      <c r="K11" s="20">
        <v>383</v>
      </c>
      <c r="L11" s="20">
        <v>261</v>
      </c>
    </row>
    <row r="12" spans="1:12" ht="11.25">
      <c r="A12" s="24" t="str">
        <f>_xlfn.COMPOUNDVALUE(37)</f>
        <v>70-79 ans</v>
      </c>
      <c r="B12" s="20">
        <v>1195</v>
      </c>
      <c r="C12" s="20">
        <v>313</v>
      </c>
      <c r="D12" s="20">
        <v>135</v>
      </c>
      <c r="E12" s="20">
        <v>114</v>
      </c>
      <c r="F12" s="20">
        <v>117</v>
      </c>
      <c r="G12" s="20">
        <v>93</v>
      </c>
      <c r="H12" s="20">
        <v>87</v>
      </c>
      <c r="I12" s="20">
        <v>73</v>
      </c>
      <c r="J12" s="20">
        <v>140</v>
      </c>
      <c r="K12" s="20">
        <v>89</v>
      </c>
      <c r="L12" s="20">
        <v>34</v>
      </c>
    </row>
    <row r="13" spans="1:12" ht="11.25">
      <c r="A13" s="24" t="str">
        <f>_xlfn.COMPOUNDVALUE(47)</f>
        <v>80 ans et plus</v>
      </c>
      <c r="B13" s="20">
        <v>438</v>
      </c>
      <c r="C13" s="20">
        <v>179</v>
      </c>
      <c r="D13" s="20">
        <v>32</v>
      </c>
      <c r="E13" s="20">
        <v>32</v>
      </c>
      <c r="F13" s="20">
        <v>49</v>
      </c>
      <c r="G13" s="20">
        <v>13</v>
      </c>
      <c r="H13" s="20">
        <v>24</v>
      </c>
      <c r="I13" s="20">
        <v>24</v>
      </c>
      <c r="J13" s="20">
        <v>24</v>
      </c>
      <c r="K13" s="20">
        <v>29</v>
      </c>
      <c r="L13" s="20">
        <v>32</v>
      </c>
    </row>
    <row r="14" spans="1:12" ht="11.25">
      <c r="A14" s="22" t="str">
        <f>_xlfn.COMPOUNDVALUE(56)</f>
        <v>Iles Du Vent</v>
      </c>
      <c r="B14" s="41">
        <v>26009</v>
      </c>
      <c r="C14" s="41">
        <v>1272</v>
      </c>
      <c r="D14" s="41">
        <v>783</v>
      </c>
      <c r="E14" s="41">
        <v>1059</v>
      </c>
      <c r="F14" s="41">
        <v>1780</v>
      </c>
      <c r="G14" s="41">
        <v>1625</v>
      </c>
      <c r="H14" s="41">
        <v>1968</v>
      </c>
      <c r="I14" s="41">
        <v>2368</v>
      </c>
      <c r="J14" s="41">
        <v>3355</v>
      </c>
      <c r="K14" s="41">
        <v>4340</v>
      </c>
      <c r="L14" s="41">
        <v>7459</v>
      </c>
    </row>
    <row r="15" spans="1:12" ht="11.25">
      <c r="A15" s="24" t="str">
        <f>_xlfn.COMPOUNDVALUE(30)</f>
        <v>Moins de 10 ans</v>
      </c>
      <c r="B15" s="20">
        <v>1810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41</v>
      </c>
      <c r="K15" s="20">
        <v>499</v>
      </c>
      <c r="L15" s="20">
        <v>1270</v>
      </c>
    </row>
    <row r="16" spans="1:12" ht="11.25">
      <c r="A16" s="24" t="str">
        <f>_xlfn.COMPOUNDVALUE(31)</f>
        <v>10-19 ans</v>
      </c>
      <c r="B16" s="20">
        <v>2414</v>
      </c>
      <c r="C16" s="20">
        <v>1</v>
      </c>
      <c r="D16" s="20">
        <v>0</v>
      </c>
      <c r="E16" s="20">
        <v>0</v>
      </c>
      <c r="F16" s="20">
        <v>1</v>
      </c>
      <c r="G16" s="20">
        <v>0</v>
      </c>
      <c r="H16" s="20">
        <v>26</v>
      </c>
      <c r="I16" s="20">
        <v>259</v>
      </c>
      <c r="J16" s="20">
        <v>480</v>
      </c>
      <c r="K16" s="20">
        <v>617</v>
      </c>
      <c r="L16" s="20">
        <v>1030</v>
      </c>
    </row>
    <row r="17" spans="1:12" ht="11.25">
      <c r="A17" s="24" t="str">
        <f>_xlfn.COMPOUNDVALUE(32)</f>
        <v>20-29 ans</v>
      </c>
      <c r="B17" s="20">
        <v>2221</v>
      </c>
      <c r="C17" s="20">
        <v>3</v>
      </c>
      <c r="D17" s="20">
        <v>1</v>
      </c>
      <c r="E17" s="20">
        <v>3</v>
      </c>
      <c r="F17" s="20">
        <v>22</v>
      </c>
      <c r="G17" s="20">
        <v>152</v>
      </c>
      <c r="H17" s="20">
        <v>230</v>
      </c>
      <c r="I17" s="20">
        <v>182</v>
      </c>
      <c r="J17" s="20">
        <v>246</v>
      </c>
      <c r="K17" s="20">
        <v>404</v>
      </c>
      <c r="L17" s="20">
        <v>978</v>
      </c>
    </row>
    <row r="18" spans="1:12" ht="11.25">
      <c r="A18" s="24" t="str">
        <f>_xlfn.COMPOUNDVALUE(33)</f>
        <v>30-39 ans</v>
      </c>
      <c r="B18" s="20">
        <v>5107</v>
      </c>
      <c r="C18" s="20">
        <v>1</v>
      </c>
      <c r="D18" s="20">
        <v>35</v>
      </c>
      <c r="E18" s="20">
        <v>209</v>
      </c>
      <c r="F18" s="20">
        <v>394</v>
      </c>
      <c r="G18" s="20">
        <v>252</v>
      </c>
      <c r="H18" s="20">
        <v>243</v>
      </c>
      <c r="I18" s="20">
        <v>427</v>
      </c>
      <c r="J18" s="20">
        <v>816</v>
      </c>
      <c r="K18" s="20">
        <v>959</v>
      </c>
      <c r="L18" s="20">
        <v>1771</v>
      </c>
    </row>
    <row r="19" spans="1:12" ht="11.25">
      <c r="A19" s="24" t="str">
        <f>_xlfn.COMPOUNDVALUE(34)</f>
        <v>40-49 ans</v>
      </c>
      <c r="B19" s="20">
        <v>6080</v>
      </c>
      <c r="C19" s="20">
        <v>180</v>
      </c>
      <c r="D19" s="20">
        <v>234</v>
      </c>
      <c r="E19" s="20">
        <v>227</v>
      </c>
      <c r="F19" s="20">
        <v>418</v>
      </c>
      <c r="G19" s="20">
        <v>455</v>
      </c>
      <c r="H19" s="20">
        <v>655</v>
      </c>
      <c r="I19" s="20">
        <v>733</v>
      </c>
      <c r="J19" s="20">
        <v>858</v>
      </c>
      <c r="K19" s="20">
        <v>927</v>
      </c>
      <c r="L19" s="20">
        <v>1393</v>
      </c>
    </row>
    <row r="20" spans="1:12" ht="11.25">
      <c r="A20" s="24" t="str">
        <f>_xlfn.COMPOUNDVALUE(35)</f>
        <v>50-59 ans</v>
      </c>
      <c r="B20" s="20">
        <v>4347</v>
      </c>
      <c r="C20" s="20">
        <v>305</v>
      </c>
      <c r="D20" s="20">
        <v>121</v>
      </c>
      <c r="E20" s="20">
        <v>277</v>
      </c>
      <c r="F20" s="20">
        <v>513</v>
      </c>
      <c r="G20" s="20">
        <v>456</v>
      </c>
      <c r="H20" s="20">
        <v>485</v>
      </c>
      <c r="I20" s="20">
        <v>443</v>
      </c>
      <c r="J20" s="20">
        <v>475</v>
      </c>
      <c r="K20" s="20">
        <v>523</v>
      </c>
      <c r="L20" s="20">
        <v>749</v>
      </c>
    </row>
    <row r="21" spans="1:12" ht="11.25">
      <c r="A21" s="24" t="str">
        <f>_xlfn.COMPOUNDVALUE(36)</f>
        <v>60-69 ans</v>
      </c>
      <c r="B21" s="20">
        <v>2599</v>
      </c>
      <c r="C21" s="20">
        <v>350</v>
      </c>
      <c r="D21" s="20">
        <v>241</v>
      </c>
      <c r="E21" s="20">
        <v>217</v>
      </c>
      <c r="F21" s="20">
        <v>284</v>
      </c>
      <c r="G21" s="20">
        <v>219</v>
      </c>
      <c r="H21" s="20">
        <v>234</v>
      </c>
      <c r="I21" s="20">
        <v>239</v>
      </c>
      <c r="J21" s="20">
        <v>290</v>
      </c>
      <c r="K21" s="20">
        <v>309</v>
      </c>
      <c r="L21" s="20">
        <v>216</v>
      </c>
    </row>
    <row r="22" spans="1:12" ht="11.25">
      <c r="A22" s="24" t="str">
        <f>_xlfn.COMPOUNDVALUE(37)</f>
        <v>70-79 ans</v>
      </c>
      <c r="B22" s="20">
        <v>1040</v>
      </c>
      <c r="C22" s="20">
        <v>275</v>
      </c>
      <c r="D22" s="20">
        <v>122</v>
      </c>
      <c r="E22" s="20">
        <v>97</v>
      </c>
      <c r="F22" s="20">
        <v>102</v>
      </c>
      <c r="G22" s="20">
        <v>80</v>
      </c>
      <c r="H22" s="20">
        <v>76</v>
      </c>
      <c r="I22" s="20">
        <v>61</v>
      </c>
      <c r="J22" s="20">
        <v>127</v>
      </c>
      <c r="K22" s="20">
        <v>76</v>
      </c>
      <c r="L22" s="20">
        <v>24</v>
      </c>
    </row>
    <row r="23" spans="1:12" ht="11.25">
      <c r="A23" s="24" t="str">
        <f>_xlfn.COMPOUNDVALUE(47)</f>
        <v>80 ans et plus</v>
      </c>
      <c r="B23" s="20">
        <v>391</v>
      </c>
      <c r="C23" s="20">
        <v>157</v>
      </c>
      <c r="D23" s="20">
        <v>29</v>
      </c>
      <c r="E23" s="20">
        <v>29</v>
      </c>
      <c r="F23" s="20">
        <v>46</v>
      </c>
      <c r="G23" s="20">
        <v>11</v>
      </c>
      <c r="H23" s="20">
        <v>19</v>
      </c>
      <c r="I23" s="20">
        <v>24</v>
      </c>
      <c r="J23" s="20">
        <v>22</v>
      </c>
      <c r="K23" s="20">
        <v>26</v>
      </c>
      <c r="L23" s="20">
        <v>28</v>
      </c>
    </row>
    <row r="24" spans="1:12" ht="11.25">
      <c r="A24" s="22" t="str">
        <f>_xlfn.COMPOUNDVALUE(56)</f>
        <v>Iles Sous-Le-Vent</v>
      </c>
      <c r="B24" s="41">
        <v>2762</v>
      </c>
      <c r="C24" s="41">
        <v>88</v>
      </c>
      <c r="D24" s="41">
        <v>59</v>
      </c>
      <c r="E24" s="41">
        <v>108</v>
      </c>
      <c r="F24" s="41">
        <v>155</v>
      </c>
      <c r="G24" s="41">
        <v>127</v>
      </c>
      <c r="H24" s="41">
        <v>199</v>
      </c>
      <c r="I24" s="41">
        <v>260</v>
      </c>
      <c r="J24" s="41">
        <v>422</v>
      </c>
      <c r="K24" s="41">
        <v>572</v>
      </c>
      <c r="L24" s="41">
        <v>772</v>
      </c>
    </row>
    <row r="25" spans="1:12" ht="11.25">
      <c r="A25" s="24" t="str">
        <f>_xlfn.COMPOUNDVALUE(30)</f>
        <v>Moins de 10 ans</v>
      </c>
      <c r="B25" s="20">
        <v>177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1</v>
      </c>
      <c r="K25" s="20">
        <v>60</v>
      </c>
      <c r="L25" s="20">
        <v>116</v>
      </c>
    </row>
    <row r="26" spans="1:12" ht="11.25">
      <c r="A26" s="24" t="str">
        <f>_xlfn.COMPOUNDVALUE(31)</f>
        <v>10-19 ans</v>
      </c>
      <c r="B26" s="20">
        <v>252</v>
      </c>
      <c r="C26" s="20">
        <v>0</v>
      </c>
      <c r="D26" s="20">
        <v>0</v>
      </c>
      <c r="E26" s="20">
        <v>0</v>
      </c>
      <c r="F26" s="20">
        <v>1</v>
      </c>
      <c r="G26" s="20">
        <v>0</v>
      </c>
      <c r="H26" s="20">
        <v>2</v>
      </c>
      <c r="I26" s="20">
        <v>26</v>
      </c>
      <c r="J26" s="20">
        <v>50</v>
      </c>
      <c r="K26" s="20">
        <v>78</v>
      </c>
      <c r="L26" s="20">
        <v>95</v>
      </c>
    </row>
    <row r="27" spans="1:12" ht="11.25">
      <c r="A27" s="24" t="str">
        <f>_xlfn.COMPOUNDVALUE(32)</f>
        <v>20-29 ans</v>
      </c>
      <c r="B27" s="20">
        <v>262</v>
      </c>
      <c r="C27" s="20">
        <v>0</v>
      </c>
      <c r="D27" s="20">
        <v>0</v>
      </c>
      <c r="E27" s="20">
        <v>0</v>
      </c>
      <c r="F27" s="20">
        <v>2</v>
      </c>
      <c r="G27" s="20">
        <v>8</v>
      </c>
      <c r="H27" s="20">
        <v>25</v>
      </c>
      <c r="I27" s="20">
        <v>17</v>
      </c>
      <c r="J27" s="20">
        <v>23</v>
      </c>
      <c r="K27" s="20">
        <v>50</v>
      </c>
      <c r="L27" s="20">
        <v>137</v>
      </c>
    </row>
    <row r="28" spans="1:12" ht="11.25">
      <c r="A28" s="24" t="str">
        <f>_xlfn.COMPOUNDVALUE(33)</f>
        <v>30-39 ans</v>
      </c>
      <c r="B28" s="20">
        <v>535</v>
      </c>
      <c r="C28" s="20">
        <v>1</v>
      </c>
      <c r="D28" s="20">
        <v>2</v>
      </c>
      <c r="E28" s="20">
        <v>25</v>
      </c>
      <c r="F28" s="20">
        <v>47</v>
      </c>
      <c r="G28" s="20">
        <v>22</v>
      </c>
      <c r="H28" s="20">
        <v>28</v>
      </c>
      <c r="I28" s="20">
        <v>31</v>
      </c>
      <c r="J28" s="20">
        <v>80</v>
      </c>
      <c r="K28" s="20">
        <v>148</v>
      </c>
      <c r="L28" s="20">
        <v>151</v>
      </c>
    </row>
    <row r="29" spans="1:12" ht="11.25">
      <c r="A29" s="24" t="str">
        <f>_xlfn.COMPOUNDVALUE(34)</f>
        <v>40-49 ans</v>
      </c>
      <c r="B29" s="20">
        <v>627</v>
      </c>
      <c r="C29" s="20">
        <v>8</v>
      </c>
      <c r="D29" s="20">
        <v>23</v>
      </c>
      <c r="E29" s="20">
        <v>18</v>
      </c>
      <c r="F29" s="20">
        <v>19</v>
      </c>
      <c r="G29" s="20">
        <v>35</v>
      </c>
      <c r="H29" s="20">
        <v>62</v>
      </c>
      <c r="I29" s="20">
        <v>85</v>
      </c>
      <c r="J29" s="20">
        <v>115</v>
      </c>
      <c r="K29" s="20">
        <v>110</v>
      </c>
      <c r="L29" s="20">
        <v>152</v>
      </c>
    </row>
    <row r="30" spans="1:12" ht="11.25">
      <c r="A30" s="24" t="str">
        <f>_xlfn.COMPOUNDVALUE(35)</f>
        <v>50-59 ans</v>
      </c>
      <c r="B30" s="20">
        <v>443</v>
      </c>
      <c r="C30" s="20">
        <v>18</v>
      </c>
      <c r="D30" s="20">
        <v>6</v>
      </c>
      <c r="E30" s="20">
        <v>23</v>
      </c>
      <c r="F30" s="20">
        <v>43</v>
      </c>
      <c r="G30" s="20">
        <v>36</v>
      </c>
      <c r="H30" s="20">
        <v>49</v>
      </c>
      <c r="I30" s="20">
        <v>53</v>
      </c>
      <c r="J30" s="20">
        <v>70</v>
      </c>
      <c r="K30" s="20">
        <v>63</v>
      </c>
      <c r="L30" s="20">
        <v>82</v>
      </c>
    </row>
    <row r="31" spans="1:12" ht="11.25">
      <c r="A31" s="24" t="str">
        <f>_xlfn.COMPOUNDVALUE(36)</f>
        <v>60-69 ans</v>
      </c>
      <c r="B31" s="20">
        <v>336</v>
      </c>
      <c r="C31" s="20">
        <v>27</v>
      </c>
      <c r="D31" s="20">
        <v>21</v>
      </c>
      <c r="E31" s="20">
        <v>27</v>
      </c>
      <c r="F31" s="20">
        <v>29</v>
      </c>
      <c r="G31" s="20">
        <v>14</v>
      </c>
      <c r="H31" s="20">
        <v>25</v>
      </c>
      <c r="I31" s="20">
        <v>39</v>
      </c>
      <c r="J31" s="20">
        <v>71</v>
      </c>
      <c r="K31" s="20">
        <v>52</v>
      </c>
      <c r="L31" s="20">
        <v>31</v>
      </c>
    </row>
    <row r="32" spans="1:12" ht="11.25">
      <c r="A32" s="24" t="str">
        <f>_xlfn.COMPOUNDVALUE(37)</f>
        <v>70-79 ans</v>
      </c>
      <c r="B32" s="20">
        <v>99</v>
      </c>
      <c r="C32" s="20">
        <v>17</v>
      </c>
      <c r="D32" s="20">
        <v>4</v>
      </c>
      <c r="E32" s="20">
        <v>13</v>
      </c>
      <c r="F32" s="20">
        <v>13</v>
      </c>
      <c r="G32" s="20">
        <v>11</v>
      </c>
      <c r="H32" s="20">
        <v>5</v>
      </c>
      <c r="I32" s="20">
        <v>9</v>
      </c>
      <c r="J32" s="20">
        <v>12</v>
      </c>
      <c r="K32" s="20">
        <v>11</v>
      </c>
      <c r="L32" s="20">
        <v>4</v>
      </c>
    </row>
    <row r="33" spans="1:12" ht="11.25">
      <c r="A33" s="24" t="str">
        <f>_xlfn.COMPOUNDVALUE(47)</f>
        <v>80 ans et plus</v>
      </c>
      <c r="B33" s="20">
        <v>31</v>
      </c>
      <c r="C33" s="20">
        <v>17</v>
      </c>
      <c r="D33" s="20">
        <v>3</v>
      </c>
      <c r="E33" s="20">
        <v>2</v>
      </c>
      <c r="F33" s="20">
        <v>1</v>
      </c>
      <c r="G33" s="20">
        <v>1</v>
      </c>
      <c r="H33" s="20">
        <v>3</v>
      </c>
      <c r="I33" s="20">
        <v>0</v>
      </c>
      <c r="J33" s="20">
        <v>0</v>
      </c>
      <c r="K33" s="20">
        <v>0</v>
      </c>
      <c r="L33" s="20">
        <v>4</v>
      </c>
    </row>
    <row r="34" spans="1:12" ht="11.25">
      <c r="A34" s="22" t="str">
        <f>_xlfn.COMPOUNDVALUE(56)</f>
        <v>Marquises</v>
      </c>
      <c r="B34" s="41">
        <v>468</v>
      </c>
      <c r="C34" s="41">
        <v>17</v>
      </c>
      <c r="D34" s="41">
        <v>11</v>
      </c>
      <c r="E34" s="41">
        <v>16</v>
      </c>
      <c r="F34" s="41">
        <v>25</v>
      </c>
      <c r="G34" s="41">
        <v>17</v>
      </c>
      <c r="H34" s="41">
        <v>37</v>
      </c>
      <c r="I34" s="41">
        <v>49</v>
      </c>
      <c r="J34" s="41">
        <v>55</v>
      </c>
      <c r="K34" s="41">
        <v>82</v>
      </c>
      <c r="L34" s="41">
        <v>159</v>
      </c>
    </row>
    <row r="35" spans="1:12" ht="11.25">
      <c r="A35" s="24" t="str">
        <f>_xlfn.COMPOUNDVALUE(30)</f>
        <v>Moins de 10 ans</v>
      </c>
      <c r="B35" s="20">
        <v>40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2</v>
      </c>
      <c r="K35" s="20">
        <v>6</v>
      </c>
      <c r="L35" s="20">
        <v>32</v>
      </c>
    </row>
    <row r="36" spans="1:12" ht="11.25">
      <c r="A36" s="24" t="str">
        <f>_xlfn.COMPOUNDVALUE(31)</f>
        <v>10-19 ans</v>
      </c>
      <c r="B36" s="20">
        <v>42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4</v>
      </c>
      <c r="J36" s="20">
        <v>9</v>
      </c>
      <c r="K36" s="20">
        <v>13</v>
      </c>
      <c r="L36" s="20">
        <v>16</v>
      </c>
    </row>
    <row r="37" spans="1:12" ht="11.25">
      <c r="A37" s="24" t="str">
        <f>_xlfn.COMPOUNDVALUE(32)</f>
        <v>20-29 ans</v>
      </c>
      <c r="B37" s="20">
        <v>21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1</v>
      </c>
      <c r="I37" s="20">
        <v>3</v>
      </c>
      <c r="J37" s="20">
        <v>1</v>
      </c>
      <c r="K37" s="20">
        <v>5</v>
      </c>
      <c r="L37" s="20">
        <v>11</v>
      </c>
    </row>
    <row r="38" spans="1:12" ht="11.25">
      <c r="A38" s="24" t="str">
        <f>_xlfn.COMPOUNDVALUE(33)</f>
        <v>30-39 ans</v>
      </c>
      <c r="B38" s="20">
        <v>93</v>
      </c>
      <c r="C38" s="20">
        <v>0</v>
      </c>
      <c r="D38" s="20">
        <v>2</v>
      </c>
      <c r="E38" s="20">
        <v>1</v>
      </c>
      <c r="F38" s="20">
        <v>4</v>
      </c>
      <c r="G38" s="20">
        <v>2</v>
      </c>
      <c r="H38" s="20">
        <v>3</v>
      </c>
      <c r="I38" s="20">
        <v>8</v>
      </c>
      <c r="J38" s="20">
        <v>11</v>
      </c>
      <c r="K38" s="20">
        <v>19</v>
      </c>
      <c r="L38" s="20">
        <v>43</v>
      </c>
    </row>
    <row r="39" spans="1:12" ht="11.25">
      <c r="A39" s="24" t="str">
        <f>_xlfn.COMPOUNDVALUE(34)</f>
        <v>40-49 ans</v>
      </c>
      <c r="B39" s="20">
        <v>99</v>
      </c>
      <c r="C39" s="20">
        <v>2</v>
      </c>
      <c r="D39" s="20">
        <v>0</v>
      </c>
      <c r="E39" s="20">
        <v>3</v>
      </c>
      <c r="F39" s="20">
        <v>4</v>
      </c>
      <c r="G39" s="20">
        <v>7</v>
      </c>
      <c r="H39" s="20">
        <v>15</v>
      </c>
      <c r="I39" s="20">
        <v>16</v>
      </c>
      <c r="J39" s="20">
        <v>10</v>
      </c>
      <c r="K39" s="20">
        <v>17</v>
      </c>
      <c r="L39" s="20">
        <v>25</v>
      </c>
    </row>
    <row r="40" spans="1:12" ht="11.25">
      <c r="A40" s="24" t="str">
        <f>_xlfn.COMPOUNDVALUE(35)</f>
        <v>50-59 ans</v>
      </c>
      <c r="B40" s="20">
        <v>92</v>
      </c>
      <c r="C40" s="20">
        <v>2</v>
      </c>
      <c r="D40" s="20">
        <v>2</v>
      </c>
      <c r="E40" s="20">
        <v>8</v>
      </c>
      <c r="F40" s="20">
        <v>13</v>
      </c>
      <c r="G40" s="20">
        <v>5</v>
      </c>
      <c r="H40" s="20">
        <v>7</v>
      </c>
      <c r="I40" s="20">
        <v>8</v>
      </c>
      <c r="J40" s="20">
        <v>11</v>
      </c>
      <c r="K40" s="20">
        <v>15</v>
      </c>
      <c r="L40" s="20">
        <v>21</v>
      </c>
    </row>
    <row r="41" spans="1:12" ht="11.25">
      <c r="A41" s="24" t="str">
        <f>_xlfn.COMPOUNDVALUE(36)</f>
        <v>60-69 ans</v>
      </c>
      <c r="B41" s="20">
        <v>57</v>
      </c>
      <c r="C41" s="20">
        <v>5</v>
      </c>
      <c r="D41" s="20">
        <v>5</v>
      </c>
      <c r="E41" s="20">
        <v>2</v>
      </c>
      <c r="F41" s="20">
        <v>3</v>
      </c>
      <c r="G41" s="20">
        <v>2</v>
      </c>
      <c r="H41" s="20">
        <v>8</v>
      </c>
      <c r="I41" s="20">
        <v>8</v>
      </c>
      <c r="J41" s="20">
        <v>10</v>
      </c>
      <c r="K41" s="20">
        <v>5</v>
      </c>
      <c r="L41" s="20">
        <v>9</v>
      </c>
    </row>
    <row r="42" spans="1:12" ht="11.25">
      <c r="A42" s="24" t="str">
        <f>_xlfn.COMPOUNDVALUE(37)</f>
        <v>70-79 ans</v>
      </c>
      <c r="B42" s="20">
        <v>16</v>
      </c>
      <c r="C42" s="20">
        <v>4</v>
      </c>
      <c r="D42" s="20">
        <v>2</v>
      </c>
      <c r="E42" s="20">
        <v>1</v>
      </c>
      <c r="F42" s="20">
        <v>1</v>
      </c>
      <c r="G42" s="20">
        <v>1</v>
      </c>
      <c r="H42" s="20">
        <v>2</v>
      </c>
      <c r="I42" s="20">
        <v>2</v>
      </c>
      <c r="J42" s="20">
        <v>0</v>
      </c>
      <c r="K42" s="20">
        <v>1</v>
      </c>
      <c r="L42" s="20">
        <v>2</v>
      </c>
    </row>
    <row r="43" spans="1:12" ht="11.25">
      <c r="A43" s="24" t="str">
        <f>_xlfn.COMPOUNDVALUE(47)</f>
        <v>80 ans et plus</v>
      </c>
      <c r="B43" s="20">
        <v>8</v>
      </c>
      <c r="C43" s="20">
        <v>4</v>
      </c>
      <c r="D43" s="20">
        <v>0</v>
      </c>
      <c r="E43" s="20">
        <v>1</v>
      </c>
      <c r="F43" s="20">
        <v>0</v>
      </c>
      <c r="G43" s="20">
        <v>0</v>
      </c>
      <c r="H43" s="20">
        <v>1</v>
      </c>
      <c r="I43" s="20">
        <v>0</v>
      </c>
      <c r="J43" s="20">
        <v>1</v>
      </c>
      <c r="K43" s="20">
        <v>1</v>
      </c>
      <c r="L43" s="20">
        <v>0</v>
      </c>
    </row>
    <row r="44" spans="1:12" ht="11.25">
      <c r="A44" s="22" t="str">
        <f>_xlfn.COMPOUNDVALUE(56)</f>
        <v>Australes</v>
      </c>
      <c r="B44" s="41">
        <v>268</v>
      </c>
      <c r="C44" s="41">
        <v>10</v>
      </c>
      <c r="D44" s="41">
        <v>6</v>
      </c>
      <c r="E44" s="41">
        <v>3</v>
      </c>
      <c r="F44" s="41">
        <v>19</v>
      </c>
      <c r="G44" s="41">
        <v>9</v>
      </c>
      <c r="H44" s="41">
        <v>12</v>
      </c>
      <c r="I44" s="41">
        <v>12</v>
      </c>
      <c r="J44" s="41">
        <v>22</v>
      </c>
      <c r="K44" s="41">
        <v>64</v>
      </c>
      <c r="L44" s="41">
        <v>111</v>
      </c>
    </row>
    <row r="45" spans="1:12" ht="11.25">
      <c r="A45" s="24" t="str">
        <f>_xlfn.COMPOUNDVALUE(30)</f>
        <v>Moins de 10 ans</v>
      </c>
      <c r="B45" s="20">
        <v>38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2</v>
      </c>
      <c r="K45" s="20">
        <v>10</v>
      </c>
      <c r="L45" s="20">
        <v>26</v>
      </c>
    </row>
    <row r="46" spans="1:12" ht="11.25">
      <c r="A46" s="24" t="str">
        <f>_xlfn.COMPOUNDVALUE(31)</f>
        <v>10-19 ans</v>
      </c>
      <c r="B46" s="20">
        <v>13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5</v>
      </c>
      <c r="K46" s="20">
        <v>5</v>
      </c>
      <c r="L46" s="20">
        <v>3</v>
      </c>
    </row>
    <row r="47" spans="1:12" ht="11.25">
      <c r="A47" s="24" t="str">
        <f>_xlfn.COMPOUNDVALUE(32)</f>
        <v>20-29 ans</v>
      </c>
      <c r="B47" s="20">
        <v>32</v>
      </c>
      <c r="C47" s="20">
        <v>0</v>
      </c>
      <c r="D47" s="20">
        <v>0</v>
      </c>
      <c r="E47" s="20">
        <v>0</v>
      </c>
      <c r="F47" s="20">
        <v>1</v>
      </c>
      <c r="G47" s="20">
        <v>2</v>
      </c>
      <c r="H47" s="20">
        <v>1</v>
      </c>
      <c r="I47" s="20">
        <v>1</v>
      </c>
      <c r="J47" s="20">
        <v>3</v>
      </c>
      <c r="K47" s="20">
        <v>8</v>
      </c>
      <c r="L47" s="20">
        <v>16</v>
      </c>
    </row>
    <row r="48" spans="1:12" ht="11.25">
      <c r="A48" s="24" t="str">
        <f>_xlfn.COMPOUNDVALUE(33)</f>
        <v>30-39 ans</v>
      </c>
      <c r="B48" s="20">
        <v>62</v>
      </c>
      <c r="C48" s="20">
        <v>0</v>
      </c>
      <c r="D48" s="20">
        <v>0</v>
      </c>
      <c r="E48" s="20">
        <v>0</v>
      </c>
      <c r="F48" s="20">
        <v>9</v>
      </c>
      <c r="G48" s="20">
        <v>0</v>
      </c>
      <c r="H48" s="20">
        <v>1</v>
      </c>
      <c r="I48" s="20">
        <v>1</v>
      </c>
      <c r="J48" s="20">
        <v>6</v>
      </c>
      <c r="K48" s="20">
        <v>15</v>
      </c>
      <c r="L48" s="20">
        <v>30</v>
      </c>
    </row>
    <row r="49" spans="1:12" ht="11.25">
      <c r="A49" s="24" t="str">
        <f>_xlfn.COMPOUNDVALUE(34)</f>
        <v>40-49 ans</v>
      </c>
      <c r="B49" s="20">
        <v>44</v>
      </c>
      <c r="C49" s="20">
        <v>1</v>
      </c>
      <c r="D49" s="20">
        <v>0</v>
      </c>
      <c r="E49" s="20">
        <v>0</v>
      </c>
      <c r="F49" s="20">
        <v>2</v>
      </c>
      <c r="G49" s="20">
        <v>1</v>
      </c>
      <c r="H49" s="20">
        <v>4</v>
      </c>
      <c r="I49" s="20">
        <v>3</v>
      </c>
      <c r="J49" s="20">
        <v>2</v>
      </c>
      <c r="K49" s="20">
        <v>11</v>
      </c>
      <c r="L49" s="20">
        <v>20</v>
      </c>
    </row>
    <row r="50" spans="1:12" ht="11.25">
      <c r="A50" s="24" t="str">
        <f>_xlfn.COMPOUNDVALUE(35)</f>
        <v>50-59 ans</v>
      </c>
      <c r="B50" s="20">
        <v>40</v>
      </c>
      <c r="C50" s="20">
        <v>1</v>
      </c>
      <c r="D50" s="20">
        <v>1</v>
      </c>
      <c r="E50" s="20">
        <v>0</v>
      </c>
      <c r="F50" s="20">
        <v>3</v>
      </c>
      <c r="G50" s="20">
        <v>2</v>
      </c>
      <c r="H50" s="20">
        <v>3</v>
      </c>
      <c r="I50" s="20">
        <v>6</v>
      </c>
      <c r="J50" s="20">
        <v>2</v>
      </c>
      <c r="K50" s="20">
        <v>8</v>
      </c>
      <c r="L50" s="20">
        <v>14</v>
      </c>
    </row>
    <row r="51" spans="1:12" ht="11.25">
      <c r="A51" s="24" t="str">
        <f>_xlfn.COMPOUNDVALUE(36)</f>
        <v>60-69 ans</v>
      </c>
      <c r="B51" s="20">
        <v>25</v>
      </c>
      <c r="C51" s="20">
        <v>2</v>
      </c>
      <c r="D51" s="20">
        <v>0</v>
      </c>
      <c r="E51" s="20">
        <v>3</v>
      </c>
      <c r="F51" s="20">
        <v>4</v>
      </c>
      <c r="G51" s="20">
        <v>3</v>
      </c>
      <c r="H51" s="20">
        <v>2</v>
      </c>
      <c r="I51" s="20">
        <v>1</v>
      </c>
      <c r="J51" s="20">
        <v>2</v>
      </c>
      <c r="K51" s="20">
        <v>6</v>
      </c>
      <c r="L51" s="20">
        <v>2</v>
      </c>
    </row>
    <row r="52" spans="1:12" ht="11.25">
      <c r="A52" s="24" t="str">
        <f>_xlfn.COMPOUNDVALUE(37)</f>
        <v>70-79 ans</v>
      </c>
      <c r="B52" s="20">
        <v>13</v>
      </c>
      <c r="C52" s="20">
        <v>6</v>
      </c>
      <c r="D52" s="20">
        <v>5</v>
      </c>
      <c r="E52" s="20">
        <v>0</v>
      </c>
      <c r="F52" s="20">
        <v>0</v>
      </c>
      <c r="G52" s="20">
        <v>1</v>
      </c>
      <c r="H52" s="20">
        <v>1</v>
      </c>
      <c r="I52" s="20">
        <v>0</v>
      </c>
      <c r="J52" s="20">
        <v>0</v>
      </c>
      <c r="K52" s="20">
        <v>0</v>
      </c>
      <c r="L52" s="20">
        <v>0</v>
      </c>
    </row>
    <row r="53" spans="1:12" ht="11.25">
      <c r="A53" s="24" t="str">
        <f>_xlfn.COMPOUNDVALUE(47)</f>
        <v>80 ans et plus</v>
      </c>
      <c r="B53" s="20">
        <v>1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1</v>
      </c>
      <c r="L53" s="20">
        <v>0</v>
      </c>
    </row>
    <row r="54" spans="1:12" ht="11.25">
      <c r="A54" s="22" t="str">
        <f>_xlfn.COMPOUNDVALUE(56)</f>
        <v>Tuamotu-Gambier</v>
      </c>
      <c r="B54" s="41">
        <v>863</v>
      </c>
      <c r="C54" s="41">
        <v>23</v>
      </c>
      <c r="D54" s="41">
        <v>18</v>
      </c>
      <c r="E54" s="41">
        <v>27</v>
      </c>
      <c r="F54" s="41">
        <v>48</v>
      </c>
      <c r="G54" s="41">
        <v>28</v>
      </c>
      <c r="H54" s="41">
        <v>64</v>
      </c>
      <c r="I54" s="41">
        <v>68</v>
      </c>
      <c r="J54" s="41">
        <v>139</v>
      </c>
      <c r="K54" s="41">
        <v>166</v>
      </c>
      <c r="L54" s="41">
        <v>282</v>
      </c>
    </row>
    <row r="55" spans="1:12" ht="11.25">
      <c r="A55" s="24" t="str">
        <f>_xlfn.COMPOUNDVALUE(30)</f>
        <v>Moins de 10 ans</v>
      </c>
      <c r="B55" s="20">
        <v>57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17</v>
      </c>
      <c r="L55" s="20">
        <v>40</v>
      </c>
    </row>
    <row r="56" spans="1:12" ht="11.25">
      <c r="A56" s="24" t="str">
        <f>_xlfn.COMPOUNDVALUE(31)</f>
        <v>10-19 ans</v>
      </c>
      <c r="B56" s="20">
        <v>50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1</v>
      </c>
      <c r="I56" s="20">
        <v>4</v>
      </c>
      <c r="J56" s="20">
        <v>14</v>
      </c>
      <c r="K56" s="20">
        <v>12</v>
      </c>
      <c r="L56" s="20">
        <v>19</v>
      </c>
    </row>
    <row r="57" spans="1:12" ht="11.25">
      <c r="A57" s="24" t="str">
        <f>_xlfn.COMPOUNDVALUE(32)</f>
        <v>20-29 ans</v>
      </c>
      <c r="B57" s="20">
        <v>96</v>
      </c>
      <c r="C57" s="20">
        <v>0</v>
      </c>
      <c r="D57" s="20">
        <v>0</v>
      </c>
      <c r="E57" s="20">
        <v>0</v>
      </c>
      <c r="F57" s="20">
        <v>1</v>
      </c>
      <c r="G57" s="20">
        <v>2</v>
      </c>
      <c r="H57" s="20">
        <v>6</v>
      </c>
      <c r="I57" s="20">
        <v>2</v>
      </c>
      <c r="J57" s="20">
        <v>18</v>
      </c>
      <c r="K57" s="20">
        <v>19</v>
      </c>
      <c r="L57" s="20">
        <v>48</v>
      </c>
    </row>
    <row r="58" spans="1:12" ht="11.25">
      <c r="A58" s="24" t="str">
        <f>_xlfn.COMPOUNDVALUE(33)</f>
        <v>30-39 ans</v>
      </c>
      <c r="B58" s="20">
        <v>224</v>
      </c>
      <c r="C58" s="20">
        <v>0</v>
      </c>
      <c r="D58" s="20">
        <v>3</v>
      </c>
      <c r="E58" s="20">
        <v>6</v>
      </c>
      <c r="F58" s="20">
        <v>19</v>
      </c>
      <c r="G58" s="20">
        <v>8</v>
      </c>
      <c r="H58" s="20">
        <v>10</v>
      </c>
      <c r="I58" s="20">
        <v>17</v>
      </c>
      <c r="J58" s="20">
        <v>39</v>
      </c>
      <c r="K58" s="20">
        <v>42</v>
      </c>
      <c r="L58" s="20">
        <v>80</v>
      </c>
    </row>
    <row r="59" spans="1:12" ht="11.25">
      <c r="A59" s="24" t="str">
        <f>_xlfn.COMPOUNDVALUE(34)</f>
        <v>40-49 ans</v>
      </c>
      <c r="B59" s="20">
        <v>190</v>
      </c>
      <c r="C59" s="20">
        <v>3</v>
      </c>
      <c r="D59" s="20">
        <v>5</v>
      </c>
      <c r="E59" s="20">
        <v>7</v>
      </c>
      <c r="F59" s="20">
        <v>11</v>
      </c>
      <c r="G59" s="20">
        <v>8</v>
      </c>
      <c r="H59" s="20">
        <v>18</v>
      </c>
      <c r="I59" s="20">
        <v>20</v>
      </c>
      <c r="J59" s="20">
        <v>29</v>
      </c>
      <c r="K59" s="20">
        <v>31</v>
      </c>
      <c r="L59" s="20">
        <v>58</v>
      </c>
    </row>
    <row r="60" spans="1:12" ht="11.25">
      <c r="A60" s="24" t="str">
        <f>_xlfn.COMPOUNDVALUE(35)</f>
        <v>50-59 ans</v>
      </c>
      <c r="B60" s="20">
        <v>159</v>
      </c>
      <c r="C60" s="20">
        <v>5</v>
      </c>
      <c r="D60" s="20">
        <v>2</v>
      </c>
      <c r="E60" s="20">
        <v>5</v>
      </c>
      <c r="F60" s="20">
        <v>8</v>
      </c>
      <c r="G60" s="20">
        <v>7</v>
      </c>
      <c r="H60" s="20">
        <v>21</v>
      </c>
      <c r="I60" s="20">
        <v>20</v>
      </c>
      <c r="J60" s="20">
        <v>29</v>
      </c>
      <c r="K60" s="20">
        <v>32</v>
      </c>
      <c r="L60" s="20">
        <v>30</v>
      </c>
    </row>
    <row r="61" spans="1:12" ht="11.25">
      <c r="A61" s="24" t="str">
        <f>_xlfn.COMPOUNDVALUE(36)</f>
        <v>60-69 ans</v>
      </c>
      <c r="B61" s="20">
        <v>53</v>
      </c>
      <c r="C61" s="20">
        <v>3</v>
      </c>
      <c r="D61" s="20">
        <v>6</v>
      </c>
      <c r="E61" s="20">
        <v>6</v>
      </c>
      <c r="F61" s="20">
        <v>6</v>
      </c>
      <c r="G61" s="20">
        <v>2</v>
      </c>
      <c r="H61" s="20">
        <v>4</v>
      </c>
      <c r="I61" s="20">
        <v>4</v>
      </c>
      <c r="J61" s="20">
        <v>8</v>
      </c>
      <c r="K61" s="20">
        <v>11</v>
      </c>
      <c r="L61" s="20">
        <v>3</v>
      </c>
    </row>
    <row r="62" spans="1:12" ht="11.25">
      <c r="A62" s="24" t="str">
        <f>_xlfn.COMPOUNDVALUE(37)</f>
        <v>70-79 ans</v>
      </c>
      <c r="B62" s="20">
        <v>27</v>
      </c>
      <c r="C62" s="20">
        <v>11</v>
      </c>
      <c r="D62" s="20">
        <v>2</v>
      </c>
      <c r="E62" s="20">
        <v>3</v>
      </c>
      <c r="F62" s="20">
        <v>1</v>
      </c>
      <c r="G62" s="20">
        <v>0</v>
      </c>
      <c r="H62" s="20">
        <v>3</v>
      </c>
      <c r="I62" s="20">
        <v>1</v>
      </c>
      <c r="J62" s="20">
        <v>1</v>
      </c>
      <c r="K62" s="20">
        <v>1</v>
      </c>
      <c r="L62" s="20">
        <v>4</v>
      </c>
    </row>
    <row r="63" spans="1:12" ht="11.25">
      <c r="A63" s="61" t="str">
        <f>_xlfn.COMPOUNDVALUE(47)</f>
        <v>80 ans et plus</v>
      </c>
      <c r="B63" s="62">
        <v>7</v>
      </c>
      <c r="C63" s="62">
        <v>1</v>
      </c>
      <c r="D63" s="62">
        <v>0</v>
      </c>
      <c r="E63" s="62">
        <v>0</v>
      </c>
      <c r="F63" s="62">
        <v>2</v>
      </c>
      <c r="G63" s="62">
        <v>1</v>
      </c>
      <c r="H63" s="62">
        <v>1</v>
      </c>
      <c r="I63" s="62">
        <v>0</v>
      </c>
      <c r="J63" s="62">
        <v>1</v>
      </c>
      <c r="K63" s="62">
        <v>1</v>
      </c>
      <c r="L63" s="62">
        <v>0</v>
      </c>
    </row>
    <row r="64" spans="2:10" ht="11.25">
      <c r="B64" s="28"/>
      <c r="C64" s="28"/>
      <c r="D64" s="28"/>
      <c r="E64" s="28"/>
      <c r="F64" s="28"/>
      <c r="G64" s="28"/>
      <c r="H64" s="28"/>
      <c r="I64" s="28"/>
      <c r="J64" s="28"/>
    </row>
    <row r="65" spans="1:12" ht="11.25">
      <c r="A65" s="17" t="s">
        <v>127</v>
      </c>
      <c r="L65" s="29" t="s">
        <v>37</v>
      </c>
    </row>
  </sheetData>
  <sheetProtection/>
  <mergeCells count="2">
    <mergeCell ref="A1:K1"/>
    <mergeCell ref="C2:L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headerFooter>
    <oddFooter>&amp;LMigrations  &amp;P /&amp;N&amp;R&amp;G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1">
      <selection activeCell="A4" sqref="A4:G54"/>
    </sheetView>
  </sheetViews>
  <sheetFormatPr defaultColWidth="12" defaultRowHeight="11.25"/>
  <cols>
    <col min="1" max="1" width="12" style="20" customWidth="1"/>
    <col min="2" max="2" width="9.16015625" style="20" customWidth="1"/>
    <col min="3" max="3" width="9.5" style="20" customWidth="1"/>
    <col min="4" max="4" width="11" style="20" customWidth="1"/>
    <col min="5" max="5" width="12" style="20" customWidth="1"/>
    <col min="6" max="6" width="10" style="20" customWidth="1"/>
    <col min="7" max="7" width="9" style="20" customWidth="1"/>
    <col min="8" max="16384" width="12" style="20" customWidth="1"/>
  </cols>
  <sheetData>
    <row r="1" spans="1:7" ht="33" customHeight="1">
      <c r="A1" s="85" t="s">
        <v>129</v>
      </c>
      <c r="B1" s="85"/>
      <c r="C1" s="85"/>
      <c r="D1" s="85"/>
      <c r="E1" s="85"/>
      <c r="F1" s="85"/>
      <c r="G1" s="85"/>
    </row>
    <row r="2" spans="3:7" ht="10.5" customHeight="1">
      <c r="C2" s="86" t="s">
        <v>130</v>
      </c>
      <c r="D2" s="86"/>
      <c r="E2" s="86"/>
      <c r="F2" s="86"/>
      <c r="G2" s="79"/>
    </row>
    <row r="3" spans="1:7" ht="50.25" customHeight="1">
      <c r="A3" s="58" t="s">
        <v>107</v>
      </c>
      <c r="B3" s="59" t="str">
        <f>_xlfn.COMPOUNDVALUE(75)</f>
        <v>Ensemble</v>
      </c>
      <c r="C3" s="38" t="str">
        <f>_xlfn.COMPOUNDVALUE(14)</f>
        <v>Même logement</v>
      </c>
      <c r="D3" s="38" t="str">
        <f>_xlfn.COMPOUNDVALUE(15)</f>
        <v>Autre logement, même commune</v>
      </c>
      <c r="E3" s="38" t="str">
        <f>_xlfn.COMPOUNDVALUE(16)</f>
        <v>Autre commune, même subdivision</v>
      </c>
      <c r="F3" s="38" t="str">
        <f>_xlfn.COMPOUNDVALUE(17)</f>
        <v>Autre subdivision</v>
      </c>
      <c r="G3" s="38" t="str">
        <f>_xlfn.COMPOUNDVALUE(18)</f>
        <v>Hors Polynésie française</v>
      </c>
    </row>
    <row r="4" spans="1:7" ht="11.25">
      <c r="A4" s="22" t="str">
        <f>_xlfn.COMPOUNDVALUE(76)</f>
        <v>Ensemble</v>
      </c>
      <c r="B4" s="41">
        <v>245866</v>
      </c>
      <c r="C4" s="41">
        <v>176218</v>
      </c>
      <c r="D4" s="41">
        <v>23661</v>
      </c>
      <c r="E4" s="41">
        <v>24155</v>
      </c>
      <c r="F4" s="41">
        <v>11210</v>
      </c>
      <c r="G4" s="41">
        <v>10622</v>
      </c>
    </row>
    <row r="5" spans="1:7" ht="11.25">
      <c r="A5" s="24" t="s">
        <v>110</v>
      </c>
      <c r="B5" s="20">
        <v>22009</v>
      </c>
      <c r="C5" s="20">
        <v>15391</v>
      </c>
      <c r="D5" s="20">
        <v>2455</v>
      </c>
      <c r="E5" s="20">
        <v>2139</v>
      </c>
      <c r="F5" s="20">
        <v>926</v>
      </c>
      <c r="G5" s="20">
        <v>1098</v>
      </c>
    </row>
    <row r="6" spans="1:7" ht="11.25">
      <c r="A6" s="24" t="str">
        <f>_xlfn.COMPOUNDVALUE(60)</f>
        <v>10-14 ans</v>
      </c>
      <c r="B6" s="20">
        <v>23291</v>
      </c>
      <c r="C6" s="20">
        <v>17333</v>
      </c>
      <c r="D6" s="20">
        <v>2196</v>
      </c>
      <c r="E6" s="20">
        <v>1961</v>
      </c>
      <c r="F6" s="20">
        <v>824</v>
      </c>
      <c r="G6" s="20">
        <v>977</v>
      </c>
    </row>
    <row r="7" spans="1:7" ht="11.25">
      <c r="A7" s="24" t="str">
        <f>_xlfn.COMPOUNDVALUE(61)</f>
        <v>15-19 ans</v>
      </c>
      <c r="B7" s="20">
        <v>22996</v>
      </c>
      <c r="C7" s="20">
        <v>16881</v>
      </c>
      <c r="D7" s="20">
        <v>2087</v>
      </c>
      <c r="E7" s="20">
        <v>2201</v>
      </c>
      <c r="F7" s="20">
        <v>1371</v>
      </c>
      <c r="G7" s="20">
        <v>456</v>
      </c>
    </row>
    <row r="8" spans="1:7" ht="11.25">
      <c r="A8" s="24" t="str">
        <f>_xlfn.COMPOUNDVALUE(62)</f>
        <v>20-24 ans</v>
      </c>
      <c r="B8" s="20">
        <v>22799</v>
      </c>
      <c r="C8" s="20">
        <v>14696</v>
      </c>
      <c r="D8" s="20">
        <v>2584</v>
      </c>
      <c r="E8" s="20">
        <v>3057</v>
      </c>
      <c r="F8" s="20">
        <v>1981</v>
      </c>
      <c r="G8" s="20">
        <v>481</v>
      </c>
    </row>
    <row r="9" spans="1:7" ht="11.25">
      <c r="A9" s="24" t="str">
        <f>_xlfn.COMPOUNDVALUE(63)</f>
        <v>25-29 ans</v>
      </c>
      <c r="B9" s="20">
        <v>22098</v>
      </c>
      <c r="C9" s="20">
        <v>13259</v>
      </c>
      <c r="D9" s="20">
        <v>2877</v>
      </c>
      <c r="E9" s="20">
        <v>3077</v>
      </c>
      <c r="F9" s="20">
        <v>1530</v>
      </c>
      <c r="G9" s="20">
        <v>1355</v>
      </c>
    </row>
    <row r="10" spans="1:7" ht="11.25">
      <c r="A10" s="24" t="str">
        <f>_xlfn.COMPOUNDVALUE(64)</f>
        <v>30-34 ans</v>
      </c>
      <c r="B10" s="20">
        <v>19947</v>
      </c>
      <c r="C10" s="20">
        <v>12015</v>
      </c>
      <c r="D10" s="20">
        <v>2644</v>
      </c>
      <c r="E10" s="20">
        <v>2846</v>
      </c>
      <c r="F10" s="20">
        <v>1033</v>
      </c>
      <c r="G10" s="20">
        <v>1409</v>
      </c>
    </row>
    <row r="11" spans="1:7" ht="11.25">
      <c r="A11" s="24" t="str">
        <f>_xlfn.COMPOUNDVALUE(65)</f>
        <v>35-39 ans</v>
      </c>
      <c r="B11" s="20">
        <v>19940</v>
      </c>
      <c r="C11" s="20">
        <v>13033</v>
      </c>
      <c r="D11" s="20">
        <v>2351</v>
      </c>
      <c r="E11" s="20">
        <v>2454</v>
      </c>
      <c r="F11" s="20">
        <v>817</v>
      </c>
      <c r="G11" s="20">
        <v>1285</v>
      </c>
    </row>
    <row r="12" spans="1:7" ht="11.25">
      <c r="A12" s="24" t="str">
        <f>_xlfn.COMPOUNDVALUE(66)</f>
        <v>40-44 ans</v>
      </c>
      <c r="B12" s="20">
        <v>20326</v>
      </c>
      <c r="C12" s="20">
        <v>14458</v>
      </c>
      <c r="D12" s="20">
        <v>1987</v>
      </c>
      <c r="E12" s="20">
        <v>1961</v>
      </c>
      <c r="F12" s="20">
        <v>738</v>
      </c>
      <c r="G12" s="20">
        <v>1182</v>
      </c>
    </row>
    <row r="13" spans="1:7" ht="11.25">
      <c r="A13" s="24" t="str">
        <f>_xlfn.COMPOUNDVALUE(67)</f>
        <v>45-49 ans</v>
      </c>
      <c r="B13" s="20">
        <v>18747</v>
      </c>
      <c r="C13" s="20">
        <v>14389</v>
      </c>
      <c r="D13" s="20">
        <v>1517</v>
      </c>
      <c r="E13" s="20">
        <v>1480</v>
      </c>
      <c r="F13" s="20">
        <v>533</v>
      </c>
      <c r="G13" s="20">
        <v>828</v>
      </c>
    </row>
    <row r="14" spans="1:7" ht="11.25">
      <c r="A14" s="24" t="str">
        <f>_xlfn.COMPOUNDVALUE(68)</f>
        <v>50-54 ans</v>
      </c>
      <c r="B14" s="20">
        <v>14953</v>
      </c>
      <c r="C14" s="20">
        <v>11880</v>
      </c>
      <c r="D14" s="20">
        <v>1010</v>
      </c>
      <c r="E14" s="20">
        <v>1003</v>
      </c>
      <c r="F14" s="20">
        <v>422</v>
      </c>
      <c r="G14" s="20">
        <v>638</v>
      </c>
    </row>
    <row r="15" spans="1:7" ht="11.25">
      <c r="A15" s="24" t="str">
        <f>_xlfn.COMPOUNDVALUE(69)</f>
        <v>55-59 ans</v>
      </c>
      <c r="B15" s="20">
        <v>12412</v>
      </c>
      <c r="C15" s="20">
        <v>10168</v>
      </c>
      <c r="D15" s="20">
        <v>709</v>
      </c>
      <c r="E15" s="20">
        <v>753</v>
      </c>
      <c r="F15" s="20">
        <v>366</v>
      </c>
      <c r="G15" s="20">
        <v>416</v>
      </c>
    </row>
    <row r="16" spans="1:7" ht="11.25">
      <c r="A16" s="24" t="str">
        <f>_xlfn.COMPOUNDVALUE(70)</f>
        <v>60-64 ans</v>
      </c>
      <c r="B16" s="20">
        <v>8914</v>
      </c>
      <c r="C16" s="20">
        <v>7394</v>
      </c>
      <c r="D16" s="20">
        <v>466</v>
      </c>
      <c r="E16" s="20">
        <v>533</v>
      </c>
      <c r="F16" s="20">
        <v>257</v>
      </c>
      <c r="G16" s="20">
        <v>264</v>
      </c>
    </row>
    <row r="17" spans="1:7" ht="11.25">
      <c r="A17" s="24" t="str">
        <f>_xlfn.COMPOUNDVALUE(71)</f>
        <v>65-69 ans</v>
      </c>
      <c r="B17" s="20">
        <v>6704</v>
      </c>
      <c r="C17" s="20">
        <v>5845</v>
      </c>
      <c r="D17" s="20">
        <v>309</v>
      </c>
      <c r="E17" s="20">
        <v>270</v>
      </c>
      <c r="F17" s="20">
        <v>162</v>
      </c>
      <c r="G17" s="20">
        <v>118</v>
      </c>
    </row>
    <row r="18" spans="1:7" ht="11.25">
      <c r="A18" s="24" t="str">
        <f>_xlfn.COMPOUNDVALUE(72)</f>
        <v>70-74 ans</v>
      </c>
      <c r="B18" s="20">
        <v>4851</v>
      </c>
      <c r="C18" s="20">
        <v>4312</v>
      </c>
      <c r="D18" s="20">
        <v>198</v>
      </c>
      <c r="E18" s="20">
        <v>173</v>
      </c>
      <c r="F18" s="20">
        <v>126</v>
      </c>
      <c r="G18" s="20">
        <v>42</v>
      </c>
    </row>
    <row r="19" spans="1:7" ht="11.25">
      <c r="A19" s="24" t="str">
        <f>_xlfn.COMPOUNDVALUE(73)</f>
        <v>75-79 ans</v>
      </c>
      <c r="B19" s="20">
        <v>3216</v>
      </c>
      <c r="C19" s="20">
        <v>2845</v>
      </c>
      <c r="D19" s="20">
        <v>144</v>
      </c>
      <c r="E19" s="20">
        <v>128</v>
      </c>
      <c r="F19" s="20">
        <v>68</v>
      </c>
      <c r="G19" s="20">
        <v>31</v>
      </c>
    </row>
    <row r="20" spans="1:7" ht="11.25">
      <c r="A20" s="24" t="str">
        <f>_xlfn.COMPOUNDVALUE(74)</f>
        <v>80 ans et plus</v>
      </c>
      <c r="B20" s="20">
        <v>2663</v>
      </c>
      <c r="C20" s="20">
        <v>2319</v>
      </c>
      <c r="D20" s="20">
        <v>127</v>
      </c>
      <c r="E20" s="20">
        <v>119</v>
      </c>
      <c r="F20" s="20">
        <v>56</v>
      </c>
      <c r="G20" s="20">
        <v>42</v>
      </c>
    </row>
    <row r="21" spans="1:7" ht="11.25">
      <c r="A21" s="22" t="str">
        <f>_xlfn.COMPOUNDVALUE(76)</f>
        <v>Homme</v>
      </c>
      <c r="B21" s="41">
        <v>125374</v>
      </c>
      <c r="C21" s="41">
        <v>90188</v>
      </c>
      <c r="D21" s="41">
        <v>11986</v>
      </c>
      <c r="E21" s="41">
        <v>11887</v>
      </c>
      <c r="F21" s="41">
        <v>5725</v>
      </c>
      <c r="G21" s="41">
        <v>5588</v>
      </c>
    </row>
    <row r="22" spans="1:7" ht="11.25">
      <c r="A22" s="24" t="s">
        <v>110</v>
      </c>
      <c r="B22" s="20">
        <v>11374</v>
      </c>
      <c r="C22" s="20">
        <v>7931</v>
      </c>
      <c r="D22" s="20">
        <v>1291</v>
      </c>
      <c r="E22" s="20">
        <v>1068</v>
      </c>
      <c r="F22" s="20">
        <v>492</v>
      </c>
      <c r="G22" s="20">
        <v>592</v>
      </c>
    </row>
    <row r="23" spans="1:7" ht="11.25">
      <c r="A23" s="24" t="str">
        <f>_xlfn.COMPOUNDVALUE(60)</f>
        <v>10-14 ans</v>
      </c>
      <c r="B23" s="20">
        <v>12031</v>
      </c>
      <c r="C23" s="20">
        <v>8955</v>
      </c>
      <c r="D23" s="20">
        <v>1120</v>
      </c>
      <c r="E23" s="20">
        <v>1026</v>
      </c>
      <c r="F23" s="20">
        <v>437</v>
      </c>
      <c r="G23" s="20">
        <v>493</v>
      </c>
    </row>
    <row r="24" spans="1:7" ht="11.25">
      <c r="A24" s="24" t="str">
        <f>_xlfn.COMPOUNDVALUE(61)</f>
        <v>15-19 ans</v>
      </c>
      <c r="B24" s="20">
        <v>11819</v>
      </c>
      <c r="C24" s="20">
        <v>8890</v>
      </c>
      <c r="D24" s="20">
        <v>992</v>
      </c>
      <c r="E24" s="20">
        <v>1041</v>
      </c>
      <c r="F24" s="20">
        <v>663</v>
      </c>
      <c r="G24" s="20">
        <v>233</v>
      </c>
    </row>
    <row r="25" spans="1:7" ht="11.25">
      <c r="A25" s="24" t="str">
        <f>_xlfn.COMPOUNDVALUE(62)</f>
        <v>20-24 ans</v>
      </c>
      <c r="B25" s="20">
        <v>11480</v>
      </c>
      <c r="C25" s="20">
        <v>7818</v>
      </c>
      <c r="D25" s="20">
        <v>1178</v>
      </c>
      <c r="E25" s="20">
        <v>1310</v>
      </c>
      <c r="F25" s="20">
        <v>928</v>
      </c>
      <c r="G25" s="20">
        <v>246</v>
      </c>
    </row>
    <row r="26" spans="1:7" ht="11.25">
      <c r="A26" s="24" t="str">
        <f>_xlfn.COMPOUNDVALUE(63)</f>
        <v>25-29 ans</v>
      </c>
      <c r="B26" s="20">
        <v>10963</v>
      </c>
      <c r="C26" s="20">
        <v>6815</v>
      </c>
      <c r="D26" s="20">
        <v>1353</v>
      </c>
      <c r="E26" s="20">
        <v>1414</v>
      </c>
      <c r="F26" s="20">
        <v>733</v>
      </c>
      <c r="G26" s="20">
        <v>648</v>
      </c>
    </row>
    <row r="27" spans="1:7" ht="11.25">
      <c r="A27" s="24" t="str">
        <f>_xlfn.COMPOUNDVALUE(64)</f>
        <v>30-34 ans</v>
      </c>
      <c r="B27" s="20">
        <v>10049</v>
      </c>
      <c r="C27" s="20">
        <v>6064</v>
      </c>
      <c r="D27" s="20">
        <v>1353</v>
      </c>
      <c r="E27" s="20">
        <v>1391</v>
      </c>
      <c r="F27" s="20">
        <v>527</v>
      </c>
      <c r="G27" s="20">
        <v>714</v>
      </c>
    </row>
    <row r="28" spans="1:7" ht="11.25">
      <c r="A28" s="24" t="str">
        <f>_xlfn.COMPOUNDVALUE(65)</f>
        <v>35-39 ans</v>
      </c>
      <c r="B28" s="20">
        <v>10111</v>
      </c>
      <c r="C28" s="20">
        <v>6516</v>
      </c>
      <c r="D28" s="20">
        <v>1219</v>
      </c>
      <c r="E28" s="20">
        <v>1254</v>
      </c>
      <c r="F28" s="20">
        <v>435</v>
      </c>
      <c r="G28" s="20">
        <v>687</v>
      </c>
    </row>
    <row r="29" spans="1:7" ht="11.25">
      <c r="A29" s="24" t="str">
        <f>_xlfn.COMPOUNDVALUE(66)</f>
        <v>40-44 ans</v>
      </c>
      <c r="B29" s="20">
        <v>10492</v>
      </c>
      <c r="C29" s="20">
        <v>7319</v>
      </c>
      <c r="D29" s="20">
        <v>1067</v>
      </c>
      <c r="E29" s="20">
        <v>1042</v>
      </c>
      <c r="F29" s="20">
        <v>430</v>
      </c>
      <c r="G29" s="20">
        <v>634</v>
      </c>
    </row>
    <row r="30" spans="1:7" ht="11.25">
      <c r="A30" s="24" t="str">
        <f>_xlfn.COMPOUNDVALUE(67)</f>
        <v>45-49 ans</v>
      </c>
      <c r="B30" s="20">
        <v>9710</v>
      </c>
      <c r="C30" s="20">
        <v>7320</v>
      </c>
      <c r="D30" s="20">
        <v>846</v>
      </c>
      <c r="E30" s="20">
        <v>778</v>
      </c>
      <c r="F30" s="20">
        <v>296</v>
      </c>
      <c r="G30" s="20">
        <v>470</v>
      </c>
    </row>
    <row r="31" spans="1:7" ht="11.25">
      <c r="A31" s="24" t="str">
        <f>_xlfn.COMPOUNDVALUE(68)</f>
        <v>50-54 ans</v>
      </c>
      <c r="B31" s="20">
        <v>7823</v>
      </c>
      <c r="C31" s="20">
        <v>6127</v>
      </c>
      <c r="D31" s="20">
        <v>548</v>
      </c>
      <c r="E31" s="20">
        <v>546</v>
      </c>
      <c r="F31" s="20">
        <v>230</v>
      </c>
      <c r="G31" s="20">
        <v>372</v>
      </c>
    </row>
    <row r="32" spans="1:7" ht="11.25">
      <c r="A32" s="24" t="str">
        <f>_xlfn.COMPOUNDVALUE(69)</f>
        <v>55-59 ans</v>
      </c>
      <c r="B32" s="20">
        <v>6467</v>
      </c>
      <c r="C32" s="20">
        <v>5279</v>
      </c>
      <c r="D32" s="20">
        <v>373</v>
      </c>
      <c r="E32" s="20">
        <v>401</v>
      </c>
      <c r="F32" s="20">
        <v>195</v>
      </c>
      <c r="G32" s="20">
        <v>219</v>
      </c>
    </row>
    <row r="33" spans="1:7" ht="11.25">
      <c r="A33" s="24" t="str">
        <f>_xlfn.COMPOUNDVALUE(70)</f>
        <v>60-64 ans</v>
      </c>
      <c r="B33" s="20">
        <v>4587</v>
      </c>
      <c r="C33" s="20">
        <v>3735</v>
      </c>
      <c r="D33" s="20">
        <v>263</v>
      </c>
      <c r="E33" s="20">
        <v>287</v>
      </c>
      <c r="F33" s="20">
        <v>146</v>
      </c>
      <c r="G33" s="20">
        <v>156</v>
      </c>
    </row>
    <row r="34" spans="1:7" ht="11.25">
      <c r="A34" s="24" t="str">
        <f>_xlfn.COMPOUNDVALUE(71)</f>
        <v>65-69 ans</v>
      </c>
      <c r="B34" s="20">
        <v>3453</v>
      </c>
      <c r="C34" s="20">
        <v>2990</v>
      </c>
      <c r="D34" s="20">
        <v>167</v>
      </c>
      <c r="E34" s="20">
        <v>141</v>
      </c>
      <c r="F34" s="20">
        <v>90</v>
      </c>
      <c r="G34" s="20">
        <v>65</v>
      </c>
    </row>
    <row r="35" spans="1:7" ht="11.25">
      <c r="A35" s="24" t="str">
        <f>_xlfn.COMPOUNDVALUE(72)</f>
        <v>70-74 ans</v>
      </c>
      <c r="B35" s="20">
        <v>2391</v>
      </c>
      <c r="C35" s="20">
        <v>2112</v>
      </c>
      <c r="D35" s="20">
        <v>105</v>
      </c>
      <c r="E35" s="20">
        <v>80</v>
      </c>
      <c r="F35" s="20">
        <v>67</v>
      </c>
      <c r="G35" s="20">
        <v>27</v>
      </c>
    </row>
    <row r="36" spans="1:7" ht="11.25">
      <c r="A36" s="24" t="str">
        <f>_xlfn.COMPOUNDVALUE(73)</f>
        <v>75-79 ans</v>
      </c>
      <c r="B36" s="20">
        <v>1509</v>
      </c>
      <c r="C36" s="20">
        <v>1339</v>
      </c>
      <c r="D36" s="20">
        <v>62</v>
      </c>
      <c r="E36" s="20">
        <v>67</v>
      </c>
      <c r="F36" s="20">
        <v>27</v>
      </c>
      <c r="G36" s="20">
        <v>14</v>
      </c>
    </row>
    <row r="37" spans="1:7" ht="11.25">
      <c r="A37" s="24" t="str">
        <f>_xlfn.COMPOUNDVALUE(74)</f>
        <v>80 ans et plus</v>
      </c>
      <c r="B37" s="20">
        <v>1115</v>
      </c>
      <c r="C37" s="20">
        <v>978</v>
      </c>
      <c r="D37" s="20">
        <v>49</v>
      </c>
      <c r="E37" s="20">
        <v>41</v>
      </c>
      <c r="F37" s="20">
        <v>29</v>
      </c>
      <c r="G37" s="20">
        <v>18</v>
      </c>
    </row>
    <row r="38" spans="1:7" ht="11.25">
      <c r="A38" s="22" t="str">
        <f>_xlfn.COMPOUNDVALUE(76)</f>
        <v>Femme</v>
      </c>
      <c r="B38" s="41">
        <v>120492</v>
      </c>
      <c r="C38" s="41">
        <v>86030</v>
      </c>
      <c r="D38" s="41">
        <v>11675</v>
      </c>
      <c r="E38" s="41">
        <v>12268</v>
      </c>
      <c r="F38" s="41">
        <v>5485</v>
      </c>
      <c r="G38" s="68">
        <v>5034</v>
      </c>
    </row>
    <row r="39" spans="1:7" ht="11.25">
      <c r="A39" s="24" t="s">
        <v>110</v>
      </c>
      <c r="B39" s="20">
        <v>10635</v>
      </c>
      <c r="C39" s="20">
        <v>7460</v>
      </c>
      <c r="D39" s="20">
        <v>1164</v>
      </c>
      <c r="E39" s="20">
        <v>1071</v>
      </c>
      <c r="F39" s="20">
        <v>434</v>
      </c>
      <c r="G39" s="20">
        <v>506</v>
      </c>
    </row>
    <row r="40" spans="1:7" ht="11.25">
      <c r="A40" s="24" t="str">
        <f>_xlfn.COMPOUNDVALUE(60)</f>
        <v>10-14 ans</v>
      </c>
      <c r="B40" s="20">
        <v>11260</v>
      </c>
      <c r="C40" s="20">
        <v>8378</v>
      </c>
      <c r="D40" s="20">
        <v>1076</v>
      </c>
      <c r="E40" s="20">
        <v>935</v>
      </c>
      <c r="F40" s="20">
        <v>387</v>
      </c>
      <c r="G40" s="20">
        <v>484</v>
      </c>
    </row>
    <row r="41" spans="1:7" ht="11.25">
      <c r="A41" s="24" t="str">
        <f>_xlfn.COMPOUNDVALUE(61)</f>
        <v>15-19 ans</v>
      </c>
      <c r="B41" s="20">
        <v>11177</v>
      </c>
      <c r="C41" s="20">
        <v>7991</v>
      </c>
      <c r="D41" s="20">
        <v>1095</v>
      </c>
      <c r="E41" s="20">
        <v>1160</v>
      </c>
      <c r="F41" s="20">
        <v>708</v>
      </c>
      <c r="G41" s="20">
        <v>223</v>
      </c>
    </row>
    <row r="42" spans="1:7" ht="11.25">
      <c r="A42" s="24" t="str">
        <f>_xlfn.COMPOUNDVALUE(62)</f>
        <v>20-24 ans</v>
      </c>
      <c r="B42" s="20">
        <v>11319</v>
      </c>
      <c r="C42" s="20">
        <v>6878</v>
      </c>
      <c r="D42" s="20">
        <v>1406</v>
      </c>
      <c r="E42" s="20">
        <v>1747</v>
      </c>
      <c r="F42" s="20">
        <v>1053</v>
      </c>
      <c r="G42" s="20">
        <v>235</v>
      </c>
    </row>
    <row r="43" spans="1:7" ht="11.25">
      <c r="A43" s="24" t="str">
        <f>_xlfn.COMPOUNDVALUE(63)</f>
        <v>25-29 ans</v>
      </c>
      <c r="B43" s="20">
        <v>11135</v>
      </c>
      <c r="C43" s="20">
        <v>6444</v>
      </c>
      <c r="D43" s="20">
        <v>1524</v>
      </c>
      <c r="E43" s="20">
        <v>1663</v>
      </c>
      <c r="F43" s="20">
        <v>797</v>
      </c>
      <c r="G43" s="20">
        <v>707</v>
      </c>
    </row>
    <row r="44" spans="1:7" ht="11.25">
      <c r="A44" s="24" t="str">
        <f>_xlfn.COMPOUNDVALUE(64)</f>
        <v>30-34 ans</v>
      </c>
      <c r="B44" s="20">
        <v>9898</v>
      </c>
      <c r="C44" s="20">
        <v>5951</v>
      </c>
      <c r="D44" s="20">
        <v>1291</v>
      </c>
      <c r="E44" s="20">
        <v>1455</v>
      </c>
      <c r="F44" s="20">
        <v>506</v>
      </c>
      <c r="G44" s="20">
        <v>695</v>
      </c>
    </row>
    <row r="45" spans="1:7" ht="11.25">
      <c r="A45" s="24" t="str">
        <f>_xlfn.COMPOUNDVALUE(65)</f>
        <v>35-39 ans</v>
      </c>
      <c r="B45" s="20">
        <v>9829</v>
      </c>
      <c r="C45" s="20">
        <v>6517</v>
      </c>
      <c r="D45" s="20">
        <v>1132</v>
      </c>
      <c r="E45" s="20">
        <v>1200</v>
      </c>
      <c r="F45" s="20">
        <v>382</v>
      </c>
      <c r="G45" s="20">
        <v>598</v>
      </c>
    </row>
    <row r="46" spans="1:7" ht="11.25">
      <c r="A46" s="24" t="str">
        <f>_xlfn.COMPOUNDVALUE(66)</f>
        <v>40-44 ans</v>
      </c>
      <c r="B46" s="20">
        <v>9834</v>
      </c>
      <c r="C46" s="20">
        <v>7139</v>
      </c>
      <c r="D46" s="20">
        <v>920</v>
      </c>
      <c r="E46" s="20">
        <v>919</v>
      </c>
      <c r="F46" s="20">
        <v>308</v>
      </c>
      <c r="G46" s="20">
        <v>548</v>
      </c>
    </row>
    <row r="47" spans="1:7" ht="11.25">
      <c r="A47" s="24" t="str">
        <f>_xlfn.COMPOUNDVALUE(67)</f>
        <v>45-49 ans</v>
      </c>
      <c r="B47" s="20">
        <v>9037</v>
      </c>
      <c r="C47" s="20">
        <v>7069</v>
      </c>
      <c r="D47" s="20">
        <v>671</v>
      </c>
      <c r="E47" s="20">
        <v>702</v>
      </c>
      <c r="F47" s="20">
        <v>237</v>
      </c>
      <c r="G47" s="20">
        <v>358</v>
      </c>
    </row>
    <row r="48" spans="1:7" ht="11.25">
      <c r="A48" s="24" t="str">
        <f>_xlfn.COMPOUNDVALUE(68)</f>
        <v>50-54 ans</v>
      </c>
      <c r="B48" s="20">
        <v>7130</v>
      </c>
      <c r="C48" s="20">
        <v>5753</v>
      </c>
      <c r="D48" s="20">
        <v>462</v>
      </c>
      <c r="E48" s="20">
        <v>457</v>
      </c>
      <c r="F48" s="20">
        <v>192</v>
      </c>
      <c r="G48" s="20">
        <v>266</v>
      </c>
    </row>
    <row r="49" spans="1:7" ht="11.25">
      <c r="A49" s="24" t="str">
        <f>_xlfn.COMPOUNDVALUE(69)</f>
        <v>55-59 ans</v>
      </c>
      <c r="B49" s="20">
        <v>5945</v>
      </c>
      <c r="C49" s="20">
        <v>4889</v>
      </c>
      <c r="D49" s="20">
        <v>336</v>
      </c>
      <c r="E49" s="20">
        <v>352</v>
      </c>
      <c r="F49" s="20">
        <v>171</v>
      </c>
      <c r="G49" s="20">
        <v>197</v>
      </c>
    </row>
    <row r="50" spans="1:7" ht="11.25">
      <c r="A50" s="24" t="str">
        <f>_xlfn.COMPOUNDVALUE(70)</f>
        <v>60-64 ans</v>
      </c>
      <c r="B50" s="20">
        <v>4327</v>
      </c>
      <c r="C50" s="20">
        <v>3659</v>
      </c>
      <c r="D50" s="20">
        <v>203</v>
      </c>
      <c r="E50" s="20">
        <v>246</v>
      </c>
      <c r="F50" s="20">
        <v>111</v>
      </c>
      <c r="G50" s="20">
        <v>108</v>
      </c>
    </row>
    <row r="51" spans="1:7" ht="11.25">
      <c r="A51" s="24" t="str">
        <f>_xlfn.COMPOUNDVALUE(71)</f>
        <v>65-69 ans</v>
      </c>
      <c r="B51" s="20">
        <v>3251</v>
      </c>
      <c r="C51" s="20">
        <v>2855</v>
      </c>
      <c r="D51" s="20">
        <v>142</v>
      </c>
      <c r="E51" s="20">
        <v>129</v>
      </c>
      <c r="F51" s="20">
        <v>72</v>
      </c>
      <c r="G51" s="20">
        <v>53</v>
      </c>
    </row>
    <row r="52" spans="1:7" ht="11.25">
      <c r="A52" s="24" t="str">
        <f>_xlfn.COMPOUNDVALUE(72)</f>
        <v>70-74 ans</v>
      </c>
      <c r="B52" s="20">
        <v>2460</v>
      </c>
      <c r="C52" s="20">
        <v>2200</v>
      </c>
      <c r="D52" s="20">
        <v>93</v>
      </c>
      <c r="E52" s="20">
        <v>93</v>
      </c>
      <c r="F52" s="20">
        <v>59</v>
      </c>
      <c r="G52" s="20">
        <v>15</v>
      </c>
    </row>
    <row r="53" spans="1:7" ht="11.25">
      <c r="A53" s="24" t="str">
        <f>_xlfn.COMPOUNDVALUE(73)</f>
        <v>75-79 ans</v>
      </c>
      <c r="B53" s="20">
        <v>1707</v>
      </c>
      <c r="C53" s="20">
        <v>1506</v>
      </c>
      <c r="D53" s="20">
        <v>82</v>
      </c>
      <c r="E53" s="20">
        <v>61</v>
      </c>
      <c r="F53" s="20">
        <v>41</v>
      </c>
      <c r="G53" s="20">
        <v>17</v>
      </c>
    </row>
    <row r="54" spans="1:7" ht="11.25">
      <c r="A54" s="61" t="str">
        <f>_xlfn.COMPOUNDVALUE(74)</f>
        <v>80 ans et plus</v>
      </c>
      <c r="B54" s="62">
        <v>1548</v>
      </c>
      <c r="C54" s="62">
        <v>1341</v>
      </c>
      <c r="D54" s="62">
        <v>78</v>
      </c>
      <c r="E54" s="62">
        <v>78</v>
      </c>
      <c r="F54" s="62">
        <v>27</v>
      </c>
      <c r="G54" s="62">
        <v>24</v>
      </c>
    </row>
    <row r="55" spans="1:8" ht="11.25">
      <c r="A55" s="28"/>
      <c r="B55" s="49"/>
      <c r="H55" s="29" t="s">
        <v>37</v>
      </c>
    </row>
    <row r="56" spans="1:2" ht="11.25">
      <c r="A56" s="17" t="s">
        <v>127</v>
      </c>
      <c r="B56" s="49"/>
    </row>
  </sheetData>
  <sheetProtection/>
  <mergeCells count="2">
    <mergeCell ref="A1:G1"/>
    <mergeCell ref="C2:G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headerFooter>
    <oddFooter>&amp;LMigrations  &amp;P /&amp;N&amp;R&amp;G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PELLET</dc:creator>
  <cp:keywords/>
  <dc:description/>
  <cp:lastModifiedBy>Hubert Leviel</cp:lastModifiedBy>
  <cp:lastPrinted>2014-05-13T19:51:51Z</cp:lastPrinted>
  <dcterms:created xsi:type="dcterms:W3CDTF">2013-11-22T19:54:09Z</dcterms:created>
  <dcterms:modified xsi:type="dcterms:W3CDTF">2014-05-13T19:52:29Z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