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5"/>
  </bookViews>
  <sheets>
    <sheet name="Liste des tableaux" sheetId="1" r:id="rId1"/>
    <sheet name="Chiffres clés PF" sheetId="2" r:id="rId2"/>
    <sheet name="Chiffres clés Administratif" sheetId="3" r:id="rId3"/>
    <sheet name="Chiffres clés Géographie" sheetId="4" r:id="rId4"/>
    <sheet name="LOG1a" sheetId="5" r:id="rId5"/>
    <sheet name="LOG1b" sheetId="6" r:id="rId6"/>
    <sheet name="LOG2a" sheetId="7" r:id="rId7"/>
    <sheet name="LOG2b" sheetId="8" r:id="rId8"/>
    <sheet name="LOG2c" sheetId="9" r:id="rId9"/>
    <sheet name="LOG2d" sheetId="10" r:id="rId10"/>
    <sheet name="LOG2e" sheetId="11" r:id="rId11"/>
    <sheet name="LOG2f" sheetId="12" r:id="rId12"/>
    <sheet name="LOG3a" sheetId="13" r:id="rId13"/>
    <sheet name="LOG4a" sheetId="14" r:id="rId14"/>
  </sheets>
  <definedNames>
    <definedName name="_xlfn.COMPOUNDVALUE" hidden="1">#NAME?</definedName>
    <definedName name="_xlfn.CUBEMEMBER" hidden="1">#NAME?</definedName>
    <definedName name="_xlfn.CUBEVALUE" hidden="1">#NAME?</definedName>
  </definedNames>
  <calcPr fullCalcOnLoad="1"/>
</workbook>
</file>

<file path=xl/sharedStrings.xml><?xml version="1.0" encoding="utf-8"?>
<sst xmlns="http://schemas.openxmlformats.org/spreadsheetml/2006/main" count="870" uniqueCount="384">
  <si>
    <t>Résidences principales</t>
  </si>
  <si>
    <t>Deux-roues</t>
  </si>
  <si>
    <t>Voitures</t>
  </si>
  <si>
    <t>Caractéristiques</t>
  </si>
  <si>
    <t>Ensemble des logements</t>
  </si>
  <si>
    <t>Subdivision</t>
  </si>
  <si>
    <t>et commune</t>
  </si>
  <si>
    <t>Subdivision et île</t>
  </si>
  <si>
    <t>Nombre de personnes dans le logement</t>
  </si>
  <si>
    <t>Nombre de personnes par logement</t>
  </si>
  <si>
    <t>Type de construction</t>
  </si>
  <si>
    <t>Nombre de pièces</t>
  </si>
  <si>
    <t>Période d'achèvement du logement</t>
  </si>
  <si>
    <t>Murs</t>
  </si>
  <si>
    <t>Toit</t>
  </si>
  <si>
    <t>Sol</t>
  </si>
  <si>
    <t>Cuisine</t>
  </si>
  <si>
    <t>Eau et électricité</t>
  </si>
  <si>
    <t>Electricité et eau</t>
  </si>
  <si>
    <t>Electricité sans eau</t>
  </si>
  <si>
    <t>Eau sans électricité</t>
  </si>
  <si>
    <t>Ni eau, ni électricité</t>
  </si>
  <si>
    <t>Sanitaires</t>
  </si>
  <si>
    <t>Douche(s) et WC</t>
  </si>
  <si>
    <t>Douche(s) sans WC</t>
  </si>
  <si>
    <t>WC sans douche</t>
  </si>
  <si>
    <t>Ni douche, ni WC</t>
  </si>
  <si>
    <t>Mode d'éclairage</t>
  </si>
  <si>
    <t>Alimentation en eau</t>
  </si>
  <si>
    <t>Origine de l'eau</t>
  </si>
  <si>
    <t>Evacuation des eaux usées</t>
  </si>
  <si>
    <t>Douche ou baignoire intérieure</t>
  </si>
  <si>
    <t>Wc intérieur</t>
  </si>
  <si>
    <t>Pièce climatisée</t>
  </si>
  <si>
    <t>Chauffe-eau électrique ou à gaz</t>
  </si>
  <si>
    <t>Chauffe-eau solaire</t>
  </si>
  <si>
    <t>Machine à laver</t>
  </si>
  <si>
    <t>Congélateur séparé</t>
  </si>
  <si>
    <t>Ordinateur</t>
  </si>
  <si>
    <t>Connexion à internet</t>
  </si>
  <si>
    <t>Récption de la TNT</t>
  </si>
  <si>
    <t>Téléphone fixe</t>
  </si>
  <si>
    <t>Téléphone mobile</t>
  </si>
  <si>
    <t>Equipement électroménager</t>
  </si>
  <si>
    <t>Toît</t>
  </si>
  <si>
    <t>Réfrigérateur</t>
  </si>
  <si>
    <t>Nombre de pièces du logement</t>
  </si>
  <si>
    <t>LOG3a - Caractéristiques des résidences principales selon le nombre de pièces par logement</t>
  </si>
  <si>
    <t xml:space="preserve">Chiffres clés : Subdivision, commune, commune associée (2)
</t>
  </si>
  <si>
    <t xml:space="preserve">Source : Recensement de la population 2012 - ISPF - INSEE </t>
  </si>
  <si>
    <t xml:space="preserve">Chiffres clés : Subdivision, île (3)
</t>
  </si>
  <si>
    <t>Nombre de
personnes par
logement</t>
  </si>
  <si>
    <t>LOG1a - Caractéristiques de l'ensemble des logements
selon la subdivision de résidence</t>
  </si>
  <si>
    <t>Nombre de logements</t>
  </si>
  <si>
    <t>LOG1b - Caractéristiques de l'ensemble des logements
selon la subdivision et la commune de résidence</t>
  </si>
  <si>
    <t>Chiffres clés - Polynésie française</t>
  </si>
  <si>
    <t>personnes
 par logement</t>
  </si>
  <si>
    <t>Nombre de :</t>
  </si>
  <si>
    <t xml:space="preserve">    Sans abri</t>
  </si>
  <si>
    <t>1 voiture</t>
  </si>
  <si>
    <t>2 voitures</t>
  </si>
  <si>
    <t>3 voitures ou plus</t>
  </si>
  <si>
    <t>Pas de voiture</t>
  </si>
  <si>
    <t>Aucune moto</t>
  </si>
  <si>
    <t>1 moto</t>
  </si>
  <si>
    <t>2 motos</t>
  </si>
  <si>
    <t>3 motos ou plus</t>
  </si>
  <si>
    <t>Bateaux à moteur</t>
  </si>
  <si>
    <t>Aucun bateau</t>
  </si>
  <si>
    <t>1 bateau</t>
  </si>
  <si>
    <t>2 bateaux</t>
  </si>
  <si>
    <t>3 bateaux ou plus</t>
  </si>
  <si>
    <t>Bateau sans moteur</t>
  </si>
  <si>
    <t>Aucune pirogue</t>
  </si>
  <si>
    <t>1 pirogue</t>
  </si>
  <si>
    <t>2 pirogues</t>
  </si>
  <si>
    <t>3 pirogues ou plus</t>
  </si>
  <si>
    <t>LOG2a - Caractéristiques des résidences principales
Polynésie française</t>
  </si>
  <si>
    <t/>
  </si>
  <si>
    <t>Logements
ou taux</t>
  </si>
  <si>
    <t>Population des logements</t>
  </si>
  <si>
    <t>Ensemble des résidences principales</t>
  </si>
  <si>
    <t>Nombre de personnes  dans le logement</t>
  </si>
  <si>
    <t>1</t>
  </si>
  <si>
    <t>2</t>
  </si>
  <si>
    <t>3</t>
  </si>
  <si>
    <t>4</t>
  </si>
  <si>
    <t>5</t>
  </si>
  <si>
    <t>6</t>
  </si>
  <si>
    <t>7</t>
  </si>
  <si>
    <t>8 et plus</t>
  </si>
  <si>
    <t>Maison individuelle (autre que 2)</t>
  </si>
  <si>
    <t>Fare ATR, MTR, FEI, OPH</t>
  </si>
  <si>
    <t>Autre immeuble collectif</t>
  </si>
  <si>
    <t>Immeuble collectif de l'OPH</t>
  </si>
  <si>
    <t>Construction provisoire, habitation de fortune (tente)</t>
  </si>
  <si>
    <t>Hôtel, pension de famille</t>
  </si>
  <si>
    <t>Ferme, bâtiment agricole</t>
  </si>
  <si>
    <t>Habitation mobile : bateau, véhicule</t>
  </si>
  <si>
    <t>Autre</t>
  </si>
  <si>
    <t>1 pièce</t>
  </si>
  <si>
    <t>2 pièces</t>
  </si>
  <si>
    <t>3 pièces</t>
  </si>
  <si>
    <t>4 pièces</t>
  </si>
  <si>
    <t>5 pièces</t>
  </si>
  <si>
    <t>6 pièces ou plus</t>
  </si>
  <si>
    <t>Avant 1989</t>
  </si>
  <si>
    <t>De 1989 à 1996</t>
  </si>
  <si>
    <t>De 1997 à 2002</t>
  </si>
  <si>
    <t>De 2003 à 2007</t>
  </si>
  <si>
    <t>2008 ou après</t>
  </si>
  <si>
    <t>Dur : parpaings, ciment</t>
  </si>
  <si>
    <t>Bois, contre-plaqué, pinex, fibro</t>
  </si>
  <si>
    <t>Bardeaux, bambou, autres végétaux</t>
  </si>
  <si>
    <t>Tôle</t>
  </si>
  <si>
    <t>Autre (chaux, corail…)</t>
  </si>
  <si>
    <t>Tuile, bardeaux</t>
  </si>
  <si>
    <t>Béton</t>
  </si>
  <si>
    <t>Pandanus, palmes et autres végétaux</t>
  </si>
  <si>
    <t>Autres (synthétique…)</t>
  </si>
  <si>
    <t>Bois, planches</t>
  </si>
  <si>
    <t>Terre battue, sable, corail</t>
  </si>
  <si>
    <t>Autres</t>
  </si>
  <si>
    <t>Une cuisine intérieure au moins</t>
  </si>
  <si>
    <t>Cuisine(s) extérieure(s)</t>
  </si>
  <si>
    <t>Pas de cuisine</t>
  </si>
  <si>
    <t>Electricité et eau (y c. à l'extérieur)</t>
  </si>
  <si>
    <t>Alimentation électrique</t>
  </si>
  <si>
    <t>Réseau général</t>
  </si>
  <si>
    <t>Groupe électrogène</t>
  </si>
  <si>
    <t>Panneaux solaires</t>
  </si>
  <si>
    <t>Eolienne</t>
  </si>
  <si>
    <t>Pas d'électricité</t>
  </si>
  <si>
    <t>Eau courante à l’intérieur du logement</t>
  </si>
  <si>
    <t>Point d’eau individuel à l’extérieur du logement</t>
  </si>
  <si>
    <t>Pas de point d’eau individuel mais point d’eau collectif</t>
  </si>
  <si>
    <t>Installation privée</t>
  </si>
  <si>
    <t>Réseau collectif (égout)</t>
  </si>
  <si>
    <t>Fosse individuelle</t>
  </si>
  <si>
    <t>A même le sol (ou dirigé vers un fossé, une rivière)</t>
  </si>
  <si>
    <t>WC intérieur</t>
  </si>
  <si>
    <t>Congélateur</t>
  </si>
  <si>
    <t>Connexion à Internet</t>
  </si>
  <si>
    <t>Réception TNT</t>
  </si>
  <si>
    <t>LOG2B - Caractéristiques des résidences principales
Iles du Vent</t>
  </si>
  <si>
    <t xml:space="preserve">Maison individuelle </t>
  </si>
  <si>
    <t>LOG2C - Caractéristiques des résidences principales
Iles Sous le Vent</t>
  </si>
  <si>
    <t>LOG2D - Caractéristiques des résidences principales
Marquises</t>
  </si>
  <si>
    <t>LOG2E - Caractéristiques des résidences principales
Australes</t>
  </si>
  <si>
    <t>Chaux</t>
  </si>
  <si>
    <t>LOG2F - Caractéristiques des résidences principales
Tuamotu-Gambier</t>
  </si>
  <si>
    <t xml:space="preserve">Chaux, autres </t>
  </si>
  <si>
    <t>Pas d'électricité, autre</t>
  </si>
  <si>
    <t>Logements</t>
  </si>
  <si>
    <t>Chiffres Clés</t>
  </si>
  <si>
    <t>Chiffres clés - Administratif</t>
  </si>
  <si>
    <t>Chiffres clés - Géographique</t>
  </si>
  <si>
    <t>CARACTERISTIQUES DE L'ENSEMBLE DES LOGEMENTS</t>
  </si>
  <si>
    <t>LOG1a - Selon la subdivision de résidence</t>
  </si>
  <si>
    <t>LOG1a</t>
  </si>
  <si>
    <t>LOG1b - Selon la subdivision et la commune de résidence</t>
  </si>
  <si>
    <t>LOG1b</t>
  </si>
  <si>
    <t>CARACTERISTIQUES DE L'ENSEMBLE DES RESIDENCES PRINCIPALES</t>
  </si>
  <si>
    <t>LOG2a - En Polynésie française</t>
  </si>
  <si>
    <t>LOG2a</t>
  </si>
  <si>
    <t>LOG2b - Dans l'archipel des Iles Du Vent</t>
  </si>
  <si>
    <t>LOG2b</t>
  </si>
  <si>
    <t>LOG2c - Dans l'archipel des Iles Sous-Le-Vent</t>
  </si>
  <si>
    <t>LOG2c</t>
  </si>
  <si>
    <t>LOG2d - Dans l'archipel des Marquises</t>
  </si>
  <si>
    <t>LOG2d</t>
  </si>
  <si>
    <t>LOG2e - Dans l'archipel des Australes</t>
  </si>
  <si>
    <t>LOG2e</t>
  </si>
  <si>
    <t>LOG2f - Dans l'archipel des Tuamotu-Gambier</t>
  </si>
  <si>
    <t>LOG2f</t>
  </si>
  <si>
    <t>LOG3a - Selon le nombre de pièces par logements</t>
  </si>
  <si>
    <t>LOG3a</t>
  </si>
  <si>
    <t>LOG4a - Selon le nombre de personnes par logements</t>
  </si>
  <si>
    <t>LOG4a</t>
  </si>
  <si>
    <t>LOG5a - Selon la période d'achèvement de la construction</t>
  </si>
  <si>
    <t>LOG5a</t>
  </si>
  <si>
    <t>LOG4a - Caractéristiques des résidences principales
selon le nombre de personnes par logements</t>
  </si>
  <si>
    <t>Ensemble</t>
  </si>
  <si>
    <t>Maison individuelle</t>
  </si>
  <si>
    <t>Immeuble collectif</t>
  </si>
  <si>
    <t>Construction collective de l'OPH</t>
  </si>
  <si>
    <t>Autres, y c. hab. mobiles</t>
  </si>
  <si>
    <t>Bois, contreplaqué, pinex, fibro</t>
  </si>
  <si>
    <t>Autres, dont tôle</t>
  </si>
  <si>
    <t>Bois</t>
  </si>
  <si>
    <t>Eclairage précaire</t>
  </si>
  <si>
    <t>Pas d’éclairage</t>
  </si>
  <si>
    <t xml:space="preserve"> </t>
  </si>
  <si>
    <t>Population</t>
  </si>
  <si>
    <t>Bateaux</t>
  </si>
  <si>
    <t>Bateaux sans moteur</t>
  </si>
  <si>
    <t>Logement ordinaire</t>
  </si>
  <si>
    <t>Résidence principale</t>
  </si>
  <si>
    <t>Logement occasionnel</t>
  </si>
  <si>
    <t>Résidence secondaire</t>
  </si>
  <si>
    <t>Logement vacant</t>
  </si>
  <si>
    <t>Logement non ordinaire</t>
  </si>
  <si>
    <t>Autre personne en collectivité</t>
  </si>
  <si>
    <t>Autres militaire du contingent ou de carrière</t>
  </si>
  <si>
    <t>Autres personne dans un service de moyen ou long séjour</t>
  </si>
  <si>
    <t>Détenu</t>
  </si>
  <si>
    <t>Elève interne</t>
  </si>
  <si>
    <t>Etudiant en cité universitaire</t>
  </si>
  <si>
    <t>Gendarmes</t>
  </si>
  <si>
    <t>Membre d'une communauté religieuse</t>
  </si>
  <si>
    <t>Personne âgée en maison de retraite ou en hospice</t>
  </si>
  <si>
    <t>Travailleur logé dans un foyer</t>
  </si>
  <si>
    <t>Iles Du Vent</t>
  </si>
  <si>
    <t>Arue</t>
  </si>
  <si>
    <t>Faaa</t>
  </si>
  <si>
    <t>Hitiaa O Te Ra</t>
  </si>
  <si>
    <t>Hitiaa</t>
  </si>
  <si>
    <t>Mahaena</t>
  </si>
  <si>
    <t>Papenoo</t>
  </si>
  <si>
    <t>Tiarei</t>
  </si>
  <si>
    <t>Mahina</t>
  </si>
  <si>
    <t>Moorea-Maiao</t>
  </si>
  <si>
    <t>Afareaitu</t>
  </si>
  <si>
    <t>Haapiti</t>
  </si>
  <si>
    <t>Maiao</t>
  </si>
  <si>
    <t>Paopao</t>
  </si>
  <si>
    <t>Papetoai</t>
  </si>
  <si>
    <t>Teavaro</t>
  </si>
  <si>
    <t>Paea</t>
  </si>
  <si>
    <t>Papara</t>
  </si>
  <si>
    <t>Papeete</t>
  </si>
  <si>
    <t>Pirae</t>
  </si>
  <si>
    <t>Punaauia</t>
  </si>
  <si>
    <t>Taiarapu-Est</t>
  </si>
  <si>
    <t>Afaahiti</t>
  </si>
  <si>
    <t>Faaone</t>
  </si>
  <si>
    <t>Pueu</t>
  </si>
  <si>
    <t>Tautira</t>
  </si>
  <si>
    <t>Taiarapu-Ouest</t>
  </si>
  <si>
    <t>Teahupoo</t>
  </si>
  <si>
    <t>Toahotu</t>
  </si>
  <si>
    <t>Vairao</t>
  </si>
  <si>
    <t>Teva I Uta</t>
  </si>
  <si>
    <t>Mataiea</t>
  </si>
  <si>
    <t>Papeari</t>
  </si>
  <si>
    <t>Iles Sous-Le-Vent</t>
  </si>
  <si>
    <t>Bora Bora</t>
  </si>
  <si>
    <t>Anau</t>
  </si>
  <si>
    <t>Faanui</t>
  </si>
  <si>
    <t>Nunue</t>
  </si>
  <si>
    <t>Huahine</t>
  </si>
  <si>
    <t>Faie</t>
  </si>
  <si>
    <t>Fare</t>
  </si>
  <si>
    <t>Fitii</t>
  </si>
  <si>
    <t>Haapu</t>
  </si>
  <si>
    <t>Maeva</t>
  </si>
  <si>
    <t>Maroe</t>
  </si>
  <si>
    <t>Parea</t>
  </si>
  <si>
    <t>Tefarerii</t>
  </si>
  <si>
    <t>Maupiti</t>
  </si>
  <si>
    <t>Tahaa</t>
  </si>
  <si>
    <t>Faaaha</t>
  </si>
  <si>
    <t>Haamene</t>
  </si>
  <si>
    <t>Hipu</t>
  </si>
  <si>
    <t>Iripau</t>
  </si>
  <si>
    <t>Niua</t>
  </si>
  <si>
    <t>Ruutia</t>
  </si>
  <si>
    <t>Tapuamu</t>
  </si>
  <si>
    <t>Vaitoare</t>
  </si>
  <si>
    <t>Taputapuatea</t>
  </si>
  <si>
    <t>Avera (Taputapuatea)</t>
  </si>
  <si>
    <t>Opoa</t>
  </si>
  <si>
    <t>Puohine</t>
  </si>
  <si>
    <t>Tumaraa</t>
  </si>
  <si>
    <t>Fetuna</t>
  </si>
  <si>
    <t>Tehurui</t>
  </si>
  <si>
    <t>Tevaitoa</t>
  </si>
  <si>
    <t>Vaiaau</t>
  </si>
  <si>
    <t>Uturoa</t>
  </si>
  <si>
    <t>Marquises</t>
  </si>
  <si>
    <t>Fatu Hiva</t>
  </si>
  <si>
    <t>Hiva Oa</t>
  </si>
  <si>
    <t>Atuona</t>
  </si>
  <si>
    <t>Puamau</t>
  </si>
  <si>
    <t>Nuku Hiva</t>
  </si>
  <si>
    <t>Hatiheu</t>
  </si>
  <si>
    <t>Taiohae</t>
  </si>
  <si>
    <t>Taipivai</t>
  </si>
  <si>
    <t>Tahuata</t>
  </si>
  <si>
    <t>Ua Huka</t>
  </si>
  <si>
    <t>Ua Pou</t>
  </si>
  <si>
    <t>Hakahau</t>
  </si>
  <si>
    <t>Hakamaii</t>
  </si>
  <si>
    <t>Australes</t>
  </si>
  <si>
    <t>Raivavae</t>
  </si>
  <si>
    <t>Anatonu</t>
  </si>
  <si>
    <t>Rairua-Mahanatoa</t>
  </si>
  <si>
    <t>Vaiuru</t>
  </si>
  <si>
    <t>Rapa</t>
  </si>
  <si>
    <t>Rimatara</t>
  </si>
  <si>
    <t>Amaru</t>
  </si>
  <si>
    <t>Anapoto</t>
  </si>
  <si>
    <t>Mutuaura</t>
  </si>
  <si>
    <t>Rurutu</t>
  </si>
  <si>
    <t>Avera (Rurutu)</t>
  </si>
  <si>
    <t>Hauti</t>
  </si>
  <si>
    <t>Moerai</t>
  </si>
  <si>
    <t>Tubuai</t>
  </si>
  <si>
    <t>Mahu</t>
  </si>
  <si>
    <t>Mataura</t>
  </si>
  <si>
    <t>Taahuaia</t>
  </si>
  <si>
    <t>Tuamotu-Gambier</t>
  </si>
  <si>
    <t>Anaa</t>
  </si>
  <si>
    <t>Faaite</t>
  </si>
  <si>
    <t>Arutua</t>
  </si>
  <si>
    <t>Apataki</t>
  </si>
  <si>
    <t>Kaukura</t>
  </si>
  <si>
    <t>Fakarava</t>
  </si>
  <si>
    <t>Kauehi</t>
  </si>
  <si>
    <t>Niau</t>
  </si>
  <si>
    <t>Fangatau</t>
  </si>
  <si>
    <t>Fakahina</t>
  </si>
  <si>
    <t>Gambier</t>
  </si>
  <si>
    <t>Hao</t>
  </si>
  <si>
    <t>Amanu</t>
  </si>
  <si>
    <t>Hereheretue</t>
  </si>
  <si>
    <t>Hikueru</t>
  </si>
  <si>
    <t>Marokau</t>
  </si>
  <si>
    <t>Makemo</t>
  </si>
  <si>
    <t>Katiu</t>
  </si>
  <si>
    <t>Raroia</t>
  </si>
  <si>
    <t>Taenga</t>
  </si>
  <si>
    <t>Manihi</t>
  </si>
  <si>
    <t>Ahe</t>
  </si>
  <si>
    <t>Napuka</t>
  </si>
  <si>
    <t>Tepoto Nord</t>
  </si>
  <si>
    <t>Nukutavake</t>
  </si>
  <si>
    <t>Vahitahi</t>
  </si>
  <si>
    <t>Vairaatea</t>
  </si>
  <si>
    <t>Pukapuka</t>
  </si>
  <si>
    <t>Rangiroa</t>
  </si>
  <si>
    <t>Makatea</t>
  </si>
  <si>
    <t>Mataiva</t>
  </si>
  <si>
    <t>Tikehau</t>
  </si>
  <si>
    <t>Reao</t>
  </si>
  <si>
    <t>Pukarua</t>
  </si>
  <si>
    <t>Takaroa</t>
  </si>
  <si>
    <t>Takapoto</t>
  </si>
  <si>
    <t>Tatakoto</t>
  </si>
  <si>
    <t>Tureia</t>
  </si>
  <si>
    <t>Total général</t>
  </si>
  <si>
    <t>Moorea</t>
  </si>
  <si>
    <t>Tahiti</t>
  </si>
  <si>
    <t>Tetiaroa</t>
  </si>
  <si>
    <t>Manuae (Scilly)</t>
  </si>
  <si>
    <t>Maupihaa (Mopelia)</t>
  </si>
  <si>
    <t>Raiatea</t>
  </si>
  <si>
    <t>Tupai</t>
  </si>
  <si>
    <t>Akamaru</t>
  </si>
  <si>
    <t>Aratika</t>
  </si>
  <si>
    <t>Aukena</t>
  </si>
  <si>
    <t>Mangareva</t>
  </si>
  <si>
    <t>Marutea Sud</t>
  </si>
  <si>
    <t>Nihiru</t>
  </si>
  <si>
    <t>Raraka</t>
  </si>
  <si>
    <t>Taiaro</t>
  </si>
  <si>
    <t>Takume</t>
  </si>
  <si>
    <t>Taravai</t>
  </si>
  <si>
    <t>Tauere</t>
  </si>
  <si>
    <t>Tematangi</t>
  </si>
  <si>
    <t>Toau</t>
  </si>
  <si>
    <t>totale</t>
  </si>
  <si>
    <t>des résidences principales</t>
  </si>
  <si>
    <t xml:space="preserve"> sans abris et communautés</t>
  </si>
  <si>
    <t>Chaux, corail</t>
  </si>
  <si>
    <t>Synthétique imitation végétal</t>
  </si>
  <si>
    <t>Autres1</t>
  </si>
  <si>
    <t>Eau courant à l'intérieur du logement</t>
  </si>
  <si>
    <t>Point d'eau individuel à l'extérieur du logement</t>
  </si>
  <si>
    <t>Pas de point d'eau individuel, point d'eau collectif</t>
  </si>
  <si>
    <t>Reseau général</t>
  </si>
  <si>
    <t>Réseau collectif</t>
  </si>
  <si>
    <t>Fosse individuel/septique</t>
  </si>
  <si>
    <t>A même le sol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</si>
</sst>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  <numFmt numFmtId="168" formatCode="#,###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23"/>
      <name val="Calibri"/>
      <family val="2"/>
    </font>
    <font>
      <u val="single"/>
      <sz val="8"/>
      <name val="Calibri"/>
      <family val="2"/>
    </font>
    <font>
      <b/>
      <i/>
      <sz val="10"/>
      <color indexed="23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b/>
      <sz val="8"/>
      <color indexed="23"/>
      <name val="Calibri"/>
      <family val="2"/>
    </font>
    <font>
      <b/>
      <sz val="14"/>
      <color indexed="63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8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i/>
      <sz val="8"/>
      <color theme="1" tint="0.49998000264167786"/>
      <name val="Calibri"/>
      <family val="2"/>
    </font>
    <font>
      <b/>
      <sz val="8"/>
      <color theme="1" tint="0.34999001026153564"/>
      <name val="Calibri"/>
      <family val="2"/>
    </font>
    <font>
      <b/>
      <sz val="14"/>
      <color theme="1" tint="0.15000000596046448"/>
      <name val="Calibri"/>
      <family val="2"/>
    </font>
    <font>
      <b/>
      <sz val="10"/>
      <color theme="0"/>
      <name val="Calibri"/>
      <family val="2"/>
    </font>
    <font>
      <b/>
      <sz val="8"/>
      <color rgb="FF5A5A5A"/>
      <name val="Calibri"/>
      <family val="2"/>
    </font>
    <font>
      <b/>
      <sz val="8"/>
      <color rgb="FFFFFFFF"/>
      <name val="Calibri"/>
      <family val="2"/>
    </font>
    <font>
      <b/>
      <sz val="8"/>
      <color rgb="FF000000"/>
      <name val="Calibri"/>
      <family val="2"/>
    </font>
    <font>
      <i/>
      <sz val="8"/>
      <color rgb="FF808080"/>
      <name val="Calibri"/>
      <family val="2"/>
    </font>
    <font>
      <b/>
      <sz val="10"/>
      <color theme="1" tint="0.34999001026153564"/>
      <name val="Calibri"/>
      <family val="2"/>
    </font>
    <font>
      <b/>
      <i/>
      <sz val="8"/>
      <color rgb="FF80808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/>
      <bottom/>
    </border>
    <border>
      <left/>
      <right/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/>
      <top/>
      <bottom style="thin"/>
    </border>
    <border>
      <left/>
      <right style="thin"/>
      <top style="thin">
        <color theme="1" tint="0.49998000264167786"/>
      </top>
      <bottom/>
    </border>
    <border>
      <left/>
      <right/>
      <top/>
      <bottom style="thin">
        <color theme="4" tint="0.39998000860214233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/>
      <right/>
      <top/>
      <bottom style="thin">
        <color rgb="FF95B3D7"/>
      </bottom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/>
      <top/>
      <bottom style="thin">
        <color rgb="FF808080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31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33" borderId="13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41" fillId="0" borderId="14" xfId="0" applyFont="1" applyBorder="1" applyAlignment="1">
      <alignment horizontal="left" indent="1"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 horizontal="left" indent="2"/>
    </xf>
    <xf numFmtId="0" fontId="41" fillId="0" borderId="10" xfId="0" applyFont="1" applyBorder="1" applyAlignment="1">
      <alignment horizontal="left" indent="1"/>
    </xf>
    <xf numFmtId="0" fontId="53" fillId="4" borderId="13" xfId="0" applyFont="1" applyFill="1" applyBorder="1" applyAlignment="1">
      <alignment horizontal="left"/>
    </xf>
    <xf numFmtId="0" fontId="53" fillId="4" borderId="16" xfId="0" applyFont="1" applyFill="1" applyBorder="1" applyAlignment="1">
      <alignment/>
    </xf>
    <xf numFmtId="0" fontId="53" fillId="4" borderId="14" xfId="0" applyFont="1" applyFill="1" applyBorder="1" applyAlignment="1">
      <alignment horizontal="left"/>
    </xf>
    <xf numFmtId="0" fontId="53" fillId="4" borderId="0" xfId="0" applyFont="1" applyFill="1" applyBorder="1" applyAlignment="1">
      <alignment/>
    </xf>
    <xf numFmtId="0" fontId="53" fillId="10" borderId="13" xfId="0" applyFont="1" applyFill="1" applyBorder="1" applyAlignment="1">
      <alignment horizontal="left"/>
    </xf>
    <xf numFmtId="0" fontId="53" fillId="10" borderId="16" xfId="0" applyFont="1" applyFill="1" applyBorder="1" applyAlignment="1">
      <alignment/>
    </xf>
    <xf numFmtId="0" fontId="53" fillId="10" borderId="17" xfId="0" applyFont="1" applyFill="1" applyBorder="1" applyAlignment="1">
      <alignment/>
    </xf>
    <xf numFmtId="0" fontId="53" fillId="10" borderId="14" xfId="0" applyFont="1" applyFill="1" applyBorder="1" applyAlignment="1">
      <alignment horizontal="left"/>
    </xf>
    <xf numFmtId="0" fontId="53" fillId="10" borderId="0" xfId="0" applyFont="1" applyFill="1" applyBorder="1" applyAlignment="1">
      <alignment/>
    </xf>
    <xf numFmtId="0" fontId="53" fillId="10" borderId="15" xfId="0" applyFont="1" applyFill="1" applyBorder="1" applyAlignment="1">
      <alignment/>
    </xf>
    <xf numFmtId="0" fontId="41" fillId="10" borderId="0" xfId="0" applyFont="1" applyFill="1" applyBorder="1" applyAlignment="1">
      <alignment/>
    </xf>
    <xf numFmtId="0" fontId="41" fillId="0" borderId="14" xfId="0" applyFont="1" applyBorder="1" applyAlignment="1">
      <alignment horizontal="left"/>
    </xf>
    <xf numFmtId="0" fontId="41" fillId="10" borderId="14" xfId="0" applyFont="1" applyFill="1" applyBorder="1" applyAlignment="1">
      <alignment horizontal="left"/>
    </xf>
    <xf numFmtId="0" fontId="41" fillId="10" borderId="15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41" fillId="4" borderId="17" xfId="0" applyFont="1" applyFill="1" applyBorder="1" applyAlignment="1">
      <alignment/>
    </xf>
    <xf numFmtId="164" fontId="41" fillId="0" borderId="15" xfId="0" applyNumberFormat="1" applyFont="1" applyBorder="1" applyAlignment="1">
      <alignment/>
    </xf>
    <xf numFmtId="0" fontId="41" fillId="4" borderId="15" xfId="0" applyFont="1" applyFill="1" applyBorder="1" applyAlignment="1">
      <alignment/>
    </xf>
    <xf numFmtId="0" fontId="41" fillId="0" borderId="10" xfId="0" applyFont="1" applyBorder="1" applyAlignment="1">
      <alignment horizontal="left" indent="2"/>
    </xf>
    <xf numFmtId="167" fontId="54" fillId="34" borderId="18" xfId="49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vertical="center"/>
    </xf>
    <xf numFmtId="0" fontId="52" fillId="34" borderId="11" xfId="0" applyFont="1" applyFill="1" applyBorder="1" applyAlignment="1">
      <alignment vertical="center"/>
    </xf>
    <xf numFmtId="167" fontId="55" fillId="0" borderId="0" xfId="54" applyNumberFormat="1" applyFont="1" applyBorder="1" applyAlignment="1">
      <alignment horizontal="right" vertical="center"/>
      <protection/>
    </xf>
    <xf numFmtId="0" fontId="41" fillId="0" borderId="0" xfId="0" applyFont="1" applyAlignment="1">
      <alignment/>
    </xf>
    <xf numFmtId="0" fontId="41" fillId="35" borderId="0" xfId="0" applyFont="1" applyFill="1" applyAlignment="1">
      <alignment/>
    </xf>
    <xf numFmtId="0" fontId="52" fillId="36" borderId="0" xfId="0" applyFont="1" applyFill="1" applyAlignment="1">
      <alignment horizontal="center" vertical="center"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 vertical="center"/>
    </xf>
    <xf numFmtId="0" fontId="53" fillId="0" borderId="13" xfId="0" applyFont="1" applyBorder="1" applyAlignment="1">
      <alignment horizontal="left"/>
    </xf>
    <xf numFmtId="3" fontId="55" fillId="0" borderId="0" xfId="0" applyNumberFormat="1" applyFont="1" applyBorder="1" applyAlignment="1">
      <alignment horizontal="right" vertical="center"/>
    </xf>
    <xf numFmtId="0" fontId="52" fillId="35" borderId="0" xfId="0" applyFont="1" applyFill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1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10" borderId="15" xfId="0" applyFont="1" applyFill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1" fillId="0" borderId="13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4" xfId="0" applyFont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0" xfId="0" applyFont="1" applyFill="1" applyBorder="1" applyAlignment="1">
      <alignment vertical="center"/>
    </xf>
    <xf numFmtId="0" fontId="52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 wrapText="1"/>
    </xf>
    <xf numFmtId="0" fontId="41" fillId="16" borderId="16" xfId="0" applyFont="1" applyFill="1" applyBorder="1" applyAlignment="1">
      <alignment/>
    </xf>
    <xf numFmtId="0" fontId="41" fillId="16" borderId="17" xfId="0" applyFont="1" applyFill="1" applyBorder="1" applyAlignment="1">
      <alignment/>
    </xf>
    <xf numFmtId="0" fontId="53" fillId="16" borderId="14" xfId="0" applyFont="1" applyFill="1" applyBorder="1" applyAlignment="1">
      <alignment horizontal="left"/>
    </xf>
    <xf numFmtId="0" fontId="53" fillId="16" borderId="0" xfId="0" applyFont="1" applyFill="1" applyBorder="1" applyAlignment="1">
      <alignment horizontal="center"/>
    </xf>
    <xf numFmtId="165" fontId="41" fillId="0" borderId="0" xfId="46" applyNumberFormat="1" applyFont="1" applyBorder="1" applyAlignment="1">
      <alignment horizontal="center"/>
    </xf>
    <xf numFmtId="165" fontId="41" fillId="0" borderId="15" xfId="46" applyNumberFormat="1" applyFont="1" applyBorder="1" applyAlignment="1">
      <alignment horizontal="center"/>
    </xf>
    <xf numFmtId="0" fontId="53" fillId="37" borderId="14" xfId="0" applyFont="1" applyFill="1" applyBorder="1" applyAlignment="1">
      <alignment horizontal="left"/>
    </xf>
    <xf numFmtId="0" fontId="53" fillId="37" borderId="0" xfId="0" applyFont="1" applyFill="1" applyBorder="1" applyAlignment="1">
      <alignment horizontal="center"/>
    </xf>
    <xf numFmtId="0" fontId="41" fillId="37" borderId="0" xfId="0" applyFont="1" applyFill="1" applyBorder="1" applyAlignment="1">
      <alignment/>
    </xf>
    <xf numFmtId="0" fontId="41" fillId="37" borderId="15" xfId="0" applyFont="1" applyFill="1" applyBorder="1" applyAlignment="1">
      <alignment/>
    </xf>
    <xf numFmtId="0" fontId="53" fillId="10" borderId="16" xfId="0" applyFont="1" applyFill="1" applyBorder="1" applyAlignment="1">
      <alignment horizontal="center"/>
    </xf>
    <xf numFmtId="0" fontId="41" fillId="10" borderId="14" xfId="0" applyFont="1" applyFill="1" applyBorder="1" applyAlignment="1">
      <alignment/>
    </xf>
    <xf numFmtId="0" fontId="41" fillId="0" borderId="0" xfId="46" applyNumberFormat="1" applyFont="1" applyBorder="1" applyAlignment="1">
      <alignment horizontal="center"/>
    </xf>
    <xf numFmtId="3" fontId="53" fillId="10" borderId="14" xfId="49" applyNumberFormat="1" applyFont="1" applyFill="1" applyBorder="1" applyAlignment="1">
      <alignment vertical="center"/>
    </xf>
    <xf numFmtId="3" fontId="41" fillId="0" borderId="14" xfId="54" applyNumberFormat="1" applyFont="1" applyBorder="1" applyAlignment="1">
      <alignment horizontal="left" vertical="center"/>
      <protection/>
    </xf>
    <xf numFmtId="3" fontId="41" fillId="0" borderId="10" xfId="54" applyNumberFormat="1" applyFont="1" applyBorder="1" applyAlignment="1">
      <alignment horizontal="left" vertical="center"/>
      <protection/>
    </xf>
    <xf numFmtId="0" fontId="53" fillId="10" borderId="17" xfId="0" applyFont="1" applyFill="1" applyBorder="1" applyAlignment="1">
      <alignment horizontal="center"/>
    </xf>
    <xf numFmtId="166" fontId="41" fillId="0" borderId="0" xfId="0" applyNumberFormat="1" applyFont="1" applyBorder="1" applyAlignment="1">
      <alignment horizontal="center"/>
    </xf>
    <xf numFmtId="166" fontId="53" fillId="37" borderId="19" xfId="56" applyNumberFormat="1" applyFont="1" applyFill="1" applyBorder="1" applyAlignment="1">
      <alignment horizontal="right" vertical="center"/>
    </xf>
    <xf numFmtId="0" fontId="41" fillId="0" borderId="15" xfId="46" applyNumberFormat="1" applyFont="1" applyBorder="1" applyAlignment="1">
      <alignment horizontal="center"/>
    </xf>
    <xf numFmtId="0" fontId="53" fillId="10" borderId="13" xfId="0" applyFont="1" applyFill="1" applyBorder="1" applyAlignment="1">
      <alignment/>
    </xf>
    <xf numFmtId="0" fontId="53" fillId="10" borderId="14" xfId="0" applyFont="1" applyFill="1" applyBorder="1" applyAlignment="1">
      <alignment/>
    </xf>
    <xf numFmtId="166" fontId="41" fillId="0" borderId="15" xfId="0" applyNumberFormat="1" applyFont="1" applyBorder="1" applyAlignment="1">
      <alignment horizontal="center"/>
    </xf>
    <xf numFmtId="3" fontId="55" fillId="0" borderId="0" xfId="54" applyNumberFormat="1" applyFont="1" applyBorder="1" applyAlignment="1">
      <alignment horizontal="right" vertical="center"/>
      <protection/>
    </xf>
    <xf numFmtId="166" fontId="53" fillId="10" borderId="0" xfId="56" applyNumberFormat="1" applyFont="1" applyFill="1" applyBorder="1" applyAlignment="1">
      <alignment horizontal="right" vertical="center"/>
    </xf>
    <xf numFmtId="166" fontId="53" fillId="10" borderId="15" xfId="56" applyNumberFormat="1" applyFont="1" applyFill="1" applyBorder="1" applyAlignment="1">
      <alignment horizontal="right" vertical="center"/>
    </xf>
    <xf numFmtId="166" fontId="41" fillId="0" borderId="11" xfId="0" applyNumberFormat="1" applyFont="1" applyBorder="1" applyAlignment="1">
      <alignment horizontal="center"/>
    </xf>
    <xf numFmtId="166" fontId="41" fillId="0" borderId="12" xfId="0" applyNumberFormat="1" applyFont="1" applyBorder="1" applyAlignment="1">
      <alignment horizontal="center"/>
    </xf>
    <xf numFmtId="0" fontId="52" fillId="38" borderId="11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3" fontId="56" fillId="0" borderId="0" xfId="53" applyNumberFormat="1" applyFont="1" applyBorder="1" applyAlignment="1">
      <alignment vertical="center" wrapText="1"/>
      <protection/>
    </xf>
    <xf numFmtId="3" fontId="2" fillId="33" borderId="20" xfId="0" applyNumberFormat="1" applyFont="1" applyFill="1" applyBorder="1" applyAlignment="1">
      <alignment vertical="top" wrapText="1"/>
    </xf>
    <xf numFmtId="3" fontId="54" fillId="34" borderId="21" xfId="46" applyNumberFormat="1" applyFont="1" applyFill="1" applyBorder="1" applyAlignment="1">
      <alignment horizontal="center" vertical="center" wrapText="1"/>
    </xf>
    <xf numFmtId="3" fontId="54" fillId="34" borderId="22" xfId="46" applyNumberFormat="1" applyFont="1" applyFill="1" applyBorder="1" applyAlignment="1">
      <alignment horizontal="center" vertical="center" wrapText="1"/>
    </xf>
    <xf numFmtId="3" fontId="54" fillId="34" borderId="18" xfId="46" applyNumberFormat="1" applyFont="1" applyFill="1" applyBorder="1" applyAlignment="1">
      <alignment horizontal="center" vertical="center" wrapText="1"/>
    </xf>
    <xf numFmtId="3" fontId="53" fillId="10" borderId="23" xfId="46" applyNumberFormat="1" applyFont="1" applyFill="1" applyBorder="1" applyAlignment="1">
      <alignment vertical="center"/>
    </xf>
    <xf numFmtId="3" fontId="53" fillId="10" borderId="0" xfId="46" applyNumberFormat="1" applyFont="1" applyFill="1" applyBorder="1" applyAlignment="1">
      <alignment horizontal="right" vertical="center"/>
    </xf>
    <xf numFmtId="3" fontId="41" fillId="0" borderId="23" xfId="0" applyNumberFormat="1" applyFont="1" applyBorder="1" applyAlignment="1">
      <alignment horizontal="left" vertical="center"/>
    </xf>
    <xf numFmtId="3" fontId="41" fillId="0" borderId="0" xfId="0" applyNumberFormat="1" applyFont="1" applyBorder="1" applyAlignment="1">
      <alignment horizontal="right" vertical="center"/>
    </xf>
    <xf numFmtId="168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 horizontal="left"/>
    </xf>
    <xf numFmtId="168" fontId="41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Border="1" applyAlignment="1">
      <alignment horizontal="left" vertical="center"/>
    </xf>
    <xf numFmtId="166" fontId="41" fillId="0" borderId="0" xfId="55" applyNumberFormat="1" applyFont="1" applyBorder="1" applyAlignment="1">
      <alignment horizontal="right" vertical="center"/>
    </xf>
    <xf numFmtId="3" fontId="41" fillId="0" borderId="0" xfId="46" applyNumberFormat="1" applyFont="1" applyBorder="1" applyAlignment="1">
      <alignment horizontal="right"/>
    </xf>
    <xf numFmtId="3" fontId="41" fillId="0" borderId="23" xfId="0" applyNumberFormat="1" applyFont="1" applyFill="1" applyBorder="1" applyAlignment="1">
      <alignment horizontal="left" vertical="center"/>
    </xf>
    <xf numFmtId="10" fontId="41" fillId="0" borderId="0" xfId="0" applyNumberFormat="1" applyFont="1" applyAlignment="1">
      <alignment/>
    </xf>
    <xf numFmtId="166" fontId="41" fillId="0" borderId="0" xfId="55" applyNumberFormat="1" applyFont="1" applyFill="1" applyBorder="1" applyAlignment="1">
      <alignment horizontal="right" vertical="center"/>
    </xf>
    <xf numFmtId="3" fontId="41" fillId="0" borderId="0" xfId="46" applyNumberFormat="1" applyFont="1" applyFill="1" applyBorder="1" applyAlignment="1">
      <alignment horizontal="right"/>
    </xf>
    <xf numFmtId="166" fontId="53" fillId="10" borderId="0" xfId="55" applyNumberFormat="1" applyFont="1" applyFill="1" applyBorder="1" applyAlignment="1">
      <alignment horizontal="right" vertical="center"/>
    </xf>
    <xf numFmtId="10" fontId="41" fillId="0" borderId="0" xfId="55" applyNumberFormat="1" applyFont="1" applyBorder="1" applyAlignment="1">
      <alignment horizontal="right" vertical="center"/>
    </xf>
    <xf numFmtId="10" fontId="41" fillId="0" borderId="0" xfId="55" applyNumberFormat="1" applyFont="1" applyFill="1" applyBorder="1" applyAlignment="1">
      <alignment horizontal="right" vertical="center"/>
    </xf>
    <xf numFmtId="3" fontId="41" fillId="0" borderId="0" xfId="0" applyNumberFormat="1" applyFont="1" applyBorder="1" applyAlignment="1">
      <alignment/>
    </xf>
    <xf numFmtId="3" fontId="41" fillId="37" borderId="0" xfId="0" applyNumberFormat="1" applyFont="1" applyFill="1" applyBorder="1" applyAlignment="1">
      <alignment/>
    </xf>
    <xf numFmtId="3" fontId="54" fillId="34" borderId="23" xfId="46" applyNumberFormat="1" applyFont="1" applyFill="1" applyBorder="1" applyAlignment="1">
      <alignment horizontal="center" vertical="center" wrapText="1"/>
    </xf>
    <xf numFmtId="3" fontId="54" fillId="34" borderId="0" xfId="46" applyNumberFormat="1" applyFont="1" applyFill="1" applyBorder="1" applyAlignment="1">
      <alignment horizontal="center" vertical="center" wrapText="1"/>
    </xf>
    <xf numFmtId="3" fontId="54" fillId="34" borderId="15" xfId="46" applyNumberFormat="1" applyFont="1" applyFill="1" applyBorder="1" applyAlignment="1">
      <alignment horizontal="center" vertical="center" wrapText="1"/>
    </xf>
    <xf numFmtId="164" fontId="53" fillId="10" borderId="15" xfId="46" applyNumberFormat="1" applyFont="1" applyFill="1" applyBorder="1" applyAlignment="1">
      <alignment horizontal="right" vertical="center"/>
    </xf>
    <xf numFmtId="164" fontId="41" fillId="0" borderId="15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left"/>
    </xf>
    <xf numFmtId="168" fontId="41" fillId="0" borderId="0" xfId="0" applyNumberFormat="1" applyFont="1" applyBorder="1" applyAlignment="1">
      <alignment/>
    </xf>
    <xf numFmtId="3" fontId="53" fillId="10" borderId="0" xfId="46" applyNumberFormat="1" applyFont="1" applyFill="1" applyBorder="1" applyAlignment="1">
      <alignment vertical="center"/>
    </xf>
    <xf numFmtId="1" fontId="53" fillId="10" borderId="15" xfId="46" applyNumberFormat="1" applyFont="1" applyFill="1" applyBorder="1" applyAlignment="1">
      <alignment horizontal="right" vertical="center"/>
    </xf>
    <xf numFmtId="3" fontId="53" fillId="10" borderId="15" xfId="46" applyNumberFormat="1" applyFont="1" applyFill="1" applyBorder="1" applyAlignment="1">
      <alignment horizontal="right" vertical="center"/>
    </xf>
    <xf numFmtId="166" fontId="41" fillId="0" borderId="0" xfId="55" applyNumberFormat="1" applyFont="1" applyAlignment="1">
      <alignment/>
    </xf>
    <xf numFmtId="166" fontId="41" fillId="0" borderId="0" xfId="0" applyNumberFormat="1" applyFont="1" applyAlignment="1">
      <alignment/>
    </xf>
    <xf numFmtId="3" fontId="41" fillId="0" borderId="24" xfId="0" applyNumberFormat="1" applyFont="1" applyBorder="1" applyAlignment="1">
      <alignment horizontal="left" vertical="center"/>
    </xf>
    <xf numFmtId="166" fontId="41" fillId="0" borderId="11" xfId="55" applyNumberFormat="1" applyFont="1" applyBorder="1" applyAlignment="1">
      <alignment horizontal="right" vertical="center"/>
    </xf>
    <xf numFmtId="3" fontId="41" fillId="0" borderId="11" xfId="46" applyNumberFormat="1" applyFont="1" applyBorder="1" applyAlignment="1">
      <alignment horizontal="right"/>
    </xf>
    <xf numFmtId="164" fontId="41" fillId="0" borderId="12" xfId="0" applyNumberFormat="1" applyFont="1" applyBorder="1" applyAlignment="1">
      <alignment horizontal="right" vertical="center"/>
    </xf>
    <xf numFmtId="3" fontId="56" fillId="37" borderId="0" xfId="0" applyNumberFormat="1" applyFont="1" applyFill="1" applyBorder="1" applyAlignment="1">
      <alignment horizontal="center" vertical="top" wrapText="1"/>
    </xf>
    <xf numFmtId="3" fontId="54" fillId="34" borderId="19" xfId="46" applyNumberFormat="1" applyFont="1" applyFill="1" applyBorder="1" applyAlignment="1">
      <alignment horizontal="center" vertical="center" wrapText="1"/>
    </xf>
    <xf numFmtId="164" fontId="41" fillId="0" borderId="15" xfId="0" applyNumberFormat="1" applyFont="1" applyFill="1" applyBorder="1" applyAlignment="1">
      <alignment horizontal="right" vertical="center"/>
    </xf>
    <xf numFmtId="167" fontId="41" fillId="0" borderId="15" xfId="0" applyNumberFormat="1" applyFont="1" applyBorder="1" applyAlignment="1">
      <alignment/>
    </xf>
    <xf numFmtId="168" fontId="41" fillId="0" borderId="0" xfId="0" applyNumberFormat="1" applyFont="1" applyBorder="1" applyAlignment="1">
      <alignment/>
    </xf>
    <xf numFmtId="3" fontId="53" fillId="10" borderId="0" xfId="46" applyNumberFormat="1" applyFont="1" applyFill="1" applyBorder="1" applyAlignment="1">
      <alignment horizontal="left" vertical="center"/>
    </xf>
    <xf numFmtId="164" fontId="41" fillId="0" borderId="15" xfId="0" applyNumberFormat="1" applyFont="1" applyBorder="1" applyAlignment="1">
      <alignment horizontal="right"/>
    </xf>
    <xf numFmtId="164" fontId="41" fillId="0" borderId="15" xfId="0" applyNumberFormat="1" applyFont="1" applyFill="1" applyBorder="1" applyAlignment="1">
      <alignment horizontal="right"/>
    </xf>
    <xf numFmtId="168" fontId="41" fillId="0" borderId="0" xfId="46" applyNumberFormat="1" applyFont="1" applyFill="1" applyBorder="1" applyAlignment="1">
      <alignment horizontal="right"/>
    </xf>
    <xf numFmtId="167" fontId="41" fillId="0" borderId="15" xfId="0" applyNumberFormat="1" applyFont="1" applyBorder="1" applyAlignment="1">
      <alignment horizontal="right"/>
    </xf>
    <xf numFmtId="168" fontId="41" fillId="0" borderId="0" xfId="46" applyNumberFormat="1" applyFont="1" applyBorder="1" applyAlignment="1">
      <alignment horizontal="right"/>
    </xf>
    <xf numFmtId="10" fontId="41" fillId="0" borderId="11" xfId="55" applyNumberFormat="1" applyFont="1" applyBorder="1" applyAlignment="1">
      <alignment horizontal="right" vertical="center"/>
    </xf>
    <xf numFmtId="168" fontId="41" fillId="0" borderId="11" xfId="0" applyNumberFormat="1" applyFont="1" applyBorder="1" applyAlignment="1">
      <alignment/>
    </xf>
    <xf numFmtId="167" fontId="41" fillId="0" borderId="12" xfId="0" applyNumberFormat="1" applyFont="1" applyBorder="1" applyAlignment="1">
      <alignment/>
    </xf>
    <xf numFmtId="0" fontId="41" fillId="0" borderId="0" xfId="0" applyFont="1" applyFill="1" applyBorder="1" applyAlignment="1">
      <alignment horizontal="left"/>
    </xf>
    <xf numFmtId="168" fontId="41" fillId="0" borderId="0" xfId="0" applyNumberFormat="1" applyFont="1" applyFill="1" applyBorder="1" applyAlignment="1">
      <alignment/>
    </xf>
    <xf numFmtId="0" fontId="41" fillId="0" borderId="0" xfId="0" applyFont="1" applyBorder="1" applyAlignment="1">
      <alignment horizontal="left"/>
    </xf>
    <xf numFmtId="168" fontId="41" fillId="10" borderId="0" xfId="0" applyNumberFormat="1" applyFont="1" applyFill="1" applyAlignment="1">
      <alignment/>
    </xf>
    <xf numFmtId="167" fontId="41" fillId="10" borderId="15" xfId="0" applyNumberFormat="1" applyFont="1" applyFill="1" applyBorder="1" applyAlignment="1">
      <alignment/>
    </xf>
    <xf numFmtId="3" fontId="56" fillId="33" borderId="15" xfId="0" applyNumberFormat="1" applyFont="1" applyFill="1" applyBorder="1" applyAlignment="1">
      <alignment horizontal="center" vertical="top" wrapText="1"/>
    </xf>
    <xf numFmtId="3" fontId="54" fillId="34" borderId="25" xfId="46" applyNumberFormat="1" applyFont="1" applyFill="1" applyBorder="1" applyAlignment="1">
      <alignment horizontal="center" vertical="center" wrapText="1"/>
    </xf>
    <xf numFmtId="164" fontId="41" fillId="0" borderId="12" xfId="0" applyNumberFormat="1" applyFont="1" applyBorder="1" applyAlignment="1">
      <alignment horizontal="right"/>
    </xf>
    <xf numFmtId="9" fontId="53" fillId="10" borderId="0" xfId="55" applyFont="1" applyFill="1" applyBorder="1" applyAlignment="1">
      <alignment horizontal="right" vertical="center"/>
    </xf>
    <xf numFmtId="0" fontId="41" fillId="37" borderId="0" xfId="0" applyFont="1" applyFill="1" applyAlignment="1">
      <alignment horizontal="left"/>
    </xf>
    <xf numFmtId="167" fontId="41" fillId="0" borderId="15" xfId="55" applyNumberFormat="1" applyFont="1" applyBorder="1" applyAlignment="1">
      <alignment/>
    </xf>
    <xf numFmtId="167" fontId="41" fillId="0" borderId="15" xfId="0" applyNumberFormat="1" applyFont="1" applyFill="1" applyBorder="1" applyAlignment="1">
      <alignment horizontal="right"/>
    </xf>
    <xf numFmtId="166" fontId="41" fillId="0" borderId="0" xfId="55" applyNumberFormat="1" applyFont="1" applyBorder="1" applyAlignment="1">
      <alignment/>
    </xf>
    <xf numFmtId="168" fontId="41" fillId="0" borderId="26" xfId="0" applyNumberFormat="1" applyFont="1" applyBorder="1" applyAlignment="1">
      <alignment/>
    </xf>
    <xf numFmtId="4" fontId="41" fillId="0" borderId="15" xfId="0" applyNumberFormat="1" applyFont="1" applyBorder="1" applyAlignment="1">
      <alignment horizontal="right"/>
    </xf>
    <xf numFmtId="164" fontId="53" fillId="10" borderId="25" xfId="46" applyNumberFormat="1" applyFont="1" applyFill="1" applyBorder="1" applyAlignment="1">
      <alignment horizontal="right" vertical="center"/>
    </xf>
    <xf numFmtId="164" fontId="53" fillId="10" borderId="0" xfId="46" applyNumberFormat="1" applyFont="1" applyFill="1" applyBorder="1" applyAlignment="1">
      <alignment horizontal="right" vertical="center"/>
    </xf>
    <xf numFmtId="166" fontId="53" fillId="10" borderId="15" xfId="55" applyNumberFormat="1" applyFont="1" applyFill="1" applyBorder="1" applyAlignment="1">
      <alignment horizontal="right" vertical="center"/>
    </xf>
    <xf numFmtId="3" fontId="57" fillId="0" borderId="0" xfId="46" applyNumberFormat="1" applyFont="1" applyBorder="1" applyAlignment="1">
      <alignment vertical="center" wrapText="1"/>
    </xf>
    <xf numFmtId="3" fontId="13" fillId="0" borderId="0" xfId="0" applyNumberFormat="1" applyFont="1" applyAlignment="1">
      <alignment/>
    </xf>
    <xf numFmtId="3" fontId="58" fillId="34" borderId="0" xfId="46" applyNumberFormat="1" applyFont="1" applyFill="1" applyBorder="1" applyAlignment="1">
      <alignment horizontal="center" vertical="center" wrapText="1"/>
    </xf>
    <xf numFmtId="3" fontId="15" fillId="34" borderId="0" xfId="46" applyNumberFormat="1" applyFont="1" applyFill="1" applyBorder="1" applyAlignment="1" quotePrefix="1">
      <alignment horizontal="center" vertical="center" wrapText="1"/>
    </xf>
    <xf numFmtId="3" fontId="16" fillId="39" borderId="0" xfId="0" applyNumberFormat="1" applyFont="1" applyFill="1" applyBorder="1" applyAlignment="1">
      <alignment vertical="center" wrapText="1"/>
    </xf>
    <xf numFmtId="3" fontId="3" fillId="39" borderId="0" xfId="45" applyNumberFormat="1" applyFont="1" applyFill="1" applyBorder="1" applyAlignment="1" applyProtection="1">
      <alignment horizontal="left" vertical="center" wrapText="1"/>
      <protection/>
    </xf>
    <xf numFmtId="3" fontId="3" fillId="39" borderId="0" xfId="45" applyNumberFormat="1" applyFont="1" applyFill="1" applyBorder="1" applyAlignment="1" applyProtection="1" quotePrefix="1">
      <alignment horizontal="left" vertical="center" wrapText="1"/>
      <protection/>
    </xf>
    <xf numFmtId="3" fontId="16" fillId="39" borderId="0" xfId="0" applyNumberFormat="1" applyFont="1" applyFill="1" applyAlignment="1">
      <alignment vertical="center" wrapText="1"/>
    </xf>
    <xf numFmtId="3" fontId="59" fillId="33" borderId="0" xfId="0" applyNumberFormat="1" applyFont="1" applyFill="1" applyBorder="1" applyAlignment="1">
      <alignment horizontal="right" vertical="top" wrapText="1"/>
    </xf>
    <xf numFmtId="3" fontId="41" fillId="33" borderId="0" xfId="0" applyNumberFormat="1" applyFont="1" applyFill="1" applyBorder="1" applyAlignment="1">
      <alignment horizontal="right"/>
    </xf>
    <xf numFmtId="3" fontId="41" fillId="33" borderId="0" xfId="0" applyNumberFormat="1" applyFont="1" applyFill="1" applyBorder="1" applyAlignment="1">
      <alignment/>
    </xf>
    <xf numFmtId="3" fontId="60" fillId="40" borderId="27" xfId="46" applyNumberFormat="1" applyFont="1" applyFill="1" applyBorder="1" applyAlignment="1">
      <alignment horizontal="center" vertical="center"/>
    </xf>
    <xf numFmtId="3" fontId="60" fillId="41" borderId="0" xfId="46" applyNumberFormat="1" applyFont="1" applyFill="1" applyBorder="1" applyAlignment="1">
      <alignment horizontal="right" vertical="center" wrapText="1"/>
    </xf>
    <xf numFmtId="3" fontId="60" fillId="41" borderId="28" xfId="46" applyNumberFormat="1" applyFont="1" applyFill="1" applyBorder="1" applyAlignment="1">
      <alignment horizontal="right" vertical="center" wrapText="1"/>
    </xf>
    <xf numFmtId="3" fontId="61" fillId="42" borderId="27" xfId="46" applyNumberFormat="1" applyFont="1" applyFill="1" applyBorder="1" applyAlignment="1">
      <alignment vertical="center"/>
    </xf>
    <xf numFmtId="3" fontId="61" fillId="42" borderId="0" xfId="46" applyNumberFormat="1" applyFont="1" applyFill="1" applyBorder="1" applyAlignment="1">
      <alignment vertical="center"/>
    </xf>
    <xf numFmtId="3" fontId="61" fillId="42" borderId="15" xfId="46" applyNumberFormat="1" applyFont="1" applyFill="1" applyBorder="1" applyAlignment="1">
      <alignment vertical="center"/>
    </xf>
    <xf numFmtId="3" fontId="41" fillId="0" borderId="27" xfId="0" applyNumberFormat="1" applyFont="1" applyBorder="1" applyAlignment="1">
      <alignment horizontal="left" vertical="center"/>
    </xf>
    <xf numFmtId="3" fontId="41" fillId="0" borderId="0" xfId="0" applyNumberFormat="1" applyFont="1" applyBorder="1" applyAlignment="1">
      <alignment vertical="center"/>
    </xf>
    <xf numFmtId="3" fontId="41" fillId="0" borderId="15" xfId="0" applyNumberFormat="1" applyFont="1" applyBorder="1" applyAlignment="1">
      <alignment vertical="center"/>
    </xf>
    <xf numFmtId="0" fontId="41" fillId="0" borderId="0" xfId="0" applyFont="1" applyBorder="1" applyAlignment="1">
      <alignment/>
    </xf>
    <xf numFmtId="168" fontId="41" fillId="0" borderId="15" xfId="0" applyNumberFormat="1" applyFont="1" applyBorder="1" applyAlignment="1">
      <alignment/>
    </xf>
    <xf numFmtId="168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horizontal="left" indent="1"/>
    </xf>
    <xf numFmtId="0" fontId="41" fillId="0" borderId="29" xfId="0" applyFont="1" applyBorder="1" applyAlignment="1">
      <alignment horizontal="left"/>
    </xf>
    <xf numFmtId="168" fontId="41" fillId="0" borderId="29" xfId="0" applyNumberFormat="1" applyFont="1" applyBorder="1" applyAlignment="1">
      <alignment/>
    </xf>
    <xf numFmtId="3" fontId="41" fillId="0" borderId="0" xfId="0" applyNumberFormat="1" applyFont="1" applyBorder="1" applyAlignment="1">
      <alignment horizontal="left" vertical="center"/>
    </xf>
    <xf numFmtId="166" fontId="41" fillId="0" borderId="0" xfId="55" applyNumberFormat="1" applyFont="1" applyBorder="1" applyAlignment="1">
      <alignment vertical="center"/>
    </xf>
    <xf numFmtId="166" fontId="41" fillId="0" borderId="0" xfId="0" applyNumberFormat="1" applyFont="1" applyBorder="1" applyAlignment="1">
      <alignment/>
    </xf>
    <xf numFmtId="166" fontId="41" fillId="0" borderId="15" xfId="0" applyNumberFormat="1" applyFont="1" applyBorder="1" applyAlignment="1">
      <alignment/>
    </xf>
    <xf numFmtId="166" fontId="41" fillId="0" borderId="15" xfId="55" applyNumberFormat="1" applyFont="1" applyBorder="1" applyAlignment="1">
      <alignment vertical="center"/>
    </xf>
    <xf numFmtId="166" fontId="41" fillId="0" borderId="0" xfId="55" applyNumberFormat="1" applyFont="1" applyBorder="1" applyAlignment="1">
      <alignment horizontal="right"/>
    </xf>
    <xf numFmtId="166" fontId="61" fillId="42" borderId="0" xfId="55" applyNumberFormat="1" applyFont="1" applyFill="1" applyBorder="1" applyAlignment="1">
      <alignment vertical="center"/>
    </xf>
    <xf numFmtId="166" fontId="61" fillId="42" borderId="15" xfId="55" applyNumberFormat="1" applyFont="1" applyFill="1" applyBorder="1" applyAlignment="1">
      <alignment vertical="center"/>
    </xf>
    <xf numFmtId="3" fontId="41" fillId="0" borderId="30" xfId="0" applyNumberFormat="1" applyFont="1" applyBorder="1" applyAlignment="1">
      <alignment horizontal="left" vertical="center"/>
    </xf>
    <xf numFmtId="166" fontId="41" fillId="0" borderId="31" xfId="55" applyNumberFormat="1" applyFont="1" applyBorder="1" applyAlignment="1">
      <alignment vertical="center"/>
    </xf>
    <xf numFmtId="166" fontId="41" fillId="0" borderId="32" xfId="55" applyNumberFormat="1" applyFont="1" applyBorder="1" applyAlignment="1">
      <alignment vertical="center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 horizontal="right"/>
    </xf>
    <xf numFmtId="3" fontId="62" fillId="0" borderId="0" xfId="0" applyNumberFormat="1" applyFont="1" applyBorder="1" applyAlignment="1">
      <alignment horizontal="right" vertical="center"/>
    </xf>
    <xf numFmtId="0" fontId="41" fillId="0" borderId="15" xfId="0" applyFont="1" applyBorder="1" applyAlignment="1">
      <alignment/>
    </xf>
    <xf numFmtId="0" fontId="52" fillId="36" borderId="0" xfId="0" applyFont="1" applyFill="1" applyAlignment="1">
      <alignment horizontal="center" vertical="center" wrapText="1"/>
    </xf>
    <xf numFmtId="0" fontId="52" fillId="35" borderId="0" xfId="0" applyFont="1" applyFill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left" wrapText="1"/>
    </xf>
    <xf numFmtId="3" fontId="63" fillId="0" borderId="0" xfId="53" applyNumberFormat="1" applyFont="1" applyBorder="1" applyAlignment="1">
      <alignment horizontal="center" vertical="center" wrapText="1"/>
      <protection/>
    </xf>
    <xf numFmtId="3" fontId="56" fillId="0" borderId="11" xfId="53" applyNumberFormat="1" applyFont="1" applyBorder="1" applyAlignment="1">
      <alignment horizontal="center" vertical="center" wrapText="1"/>
      <protection/>
    </xf>
    <xf numFmtId="0" fontId="52" fillId="35" borderId="11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6" borderId="33" xfId="0" applyFont="1" applyFill="1" applyBorder="1" applyAlignment="1">
      <alignment horizontal="center" vertical="center"/>
    </xf>
    <xf numFmtId="3" fontId="56" fillId="0" borderId="0" xfId="54" applyNumberFormat="1" applyFont="1" applyBorder="1" applyAlignment="1">
      <alignment horizontal="center" vertical="top" wrapText="1"/>
      <protection/>
    </xf>
    <xf numFmtId="3" fontId="56" fillId="0" borderId="0" xfId="0" applyNumberFormat="1" applyFont="1" applyBorder="1" applyAlignment="1">
      <alignment horizontal="center" vertical="top" wrapText="1"/>
    </xf>
    <xf numFmtId="3" fontId="56" fillId="37" borderId="0" xfId="0" applyNumberFormat="1" applyFont="1" applyFill="1" applyBorder="1" applyAlignment="1">
      <alignment horizontal="center" vertical="top" wrapText="1"/>
    </xf>
    <xf numFmtId="3" fontId="2" fillId="37" borderId="0" xfId="0" applyNumberFormat="1" applyFont="1" applyFill="1" applyBorder="1" applyAlignment="1">
      <alignment horizontal="left" vertical="top" wrapText="1"/>
    </xf>
    <xf numFmtId="3" fontId="59" fillId="37" borderId="0" xfId="0" applyNumberFormat="1" applyFont="1" applyFill="1" applyBorder="1" applyAlignment="1">
      <alignment horizontal="center" vertical="top" wrapText="1"/>
    </xf>
    <xf numFmtId="3" fontId="64" fillId="33" borderId="0" xfId="0" applyNumberFormat="1" applyFont="1" applyFill="1" applyBorder="1" applyAlignment="1">
      <alignment horizontal="left" vertical="top" wrapText="1"/>
    </xf>
    <xf numFmtId="3" fontId="60" fillId="40" borderId="27" xfId="46" applyNumberFormat="1" applyFont="1" applyFill="1" applyBorder="1" applyAlignment="1">
      <alignment horizontal="center" vertical="center"/>
    </xf>
    <xf numFmtId="3" fontId="60" fillId="40" borderId="0" xfId="46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3.140625" style="0" customWidth="1"/>
    <col min="2" max="2" width="22.00390625" style="0" customWidth="1"/>
  </cols>
  <sheetData>
    <row r="1" spans="1:2" ht="36.75" customHeight="1">
      <c r="A1" s="170" t="s">
        <v>153</v>
      </c>
      <c r="B1" s="171"/>
    </row>
    <row r="2" spans="1:2" ht="15">
      <c r="A2" s="172" t="s">
        <v>153</v>
      </c>
      <c r="B2" s="173"/>
    </row>
    <row r="3" spans="1:2" ht="15">
      <c r="A3" s="174" t="s">
        <v>55</v>
      </c>
      <c r="B3" s="175" t="s">
        <v>154</v>
      </c>
    </row>
    <row r="4" spans="1:2" ht="22.5">
      <c r="A4" s="174" t="s">
        <v>48</v>
      </c>
      <c r="B4" s="176" t="s">
        <v>155</v>
      </c>
    </row>
    <row r="5" spans="1:2" ht="22.5">
      <c r="A5" s="174" t="s">
        <v>50</v>
      </c>
      <c r="B5" s="176" t="s">
        <v>156</v>
      </c>
    </row>
    <row r="6" spans="1:2" ht="15">
      <c r="A6" s="215" t="s">
        <v>157</v>
      </c>
      <c r="B6" s="215"/>
    </row>
    <row r="7" spans="1:2" ht="15">
      <c r="A7" s="177" t="s">
        <v>158</v>
      </c>
      <c r="B7" s="175" t="s">
        <v>159</v>
      </c>
    </row>
    <row r="8" spans="1:2" ht="15">
      <c r="A8" s="177" t="s">
        <v>160</v>
      </c>
      <c r="B8" s="175" t="s">
        <v>161</v>
      </c>
    </row>
    <row r="9" spans="1:2" ht="15">
      <c r="A9" s="215" t="s">
        <v>162</v>
      </c>
      <c r="B9" s="215"/>
    </row>
    <row r="10" spans="1:2" ht="15">
      <c r="A10" s="177" t="s">
        <v>163</v>
      </c>
      <c r="B10" s="175" t="s">
        <v>164</v>
      </c>
    </row>
    <row r="11" spans="1:2" ht="15">
      <c r="A11" s="177" t="s">
        <v>165</v>
      </c>
      <c r="B11" s="175" t="s">
        <v>166</v>
      </c>
    </row>
    <row r="12" spans="1:2" ht="15">
      <c r="A12" s="177" t="s">
        <v>167</v>
      </c>
      <c r="B12" s="175" t="s">
        <v>168</v>
      </c>
    </row>
    <row r="13" spans="1:2" ht="15">
      <c r="A13" s="177" t="s">
        <v>169</v>
      </c>
      <c r="B13" s="175" t="s">
        <v>170</v>
      </c>
    </row>
    <row r="14" spans="1:2" ht="15">
      <c r="A14" s="177" t="s">
        <v>171</v>
      </c>
      <c r="B14" s="175" t="s">
        <v>172</v>
      </c>
    </row>
    <row r="15" spans="1:2" ht="15">
      <c r="A15" s="177" t="s">
        <v>173</v>
      </c>
      <c r="B15" s="175" t="s">
        <v>174</v>
      </c>
    </row>
    <row r="16" spans="1:2" ht="15">
      <c r="A16" s="177" t="s">
        <v>175</v>
      </c>
      <c r="B16" s="175" t="s">
        <v>176</v>
      </c>
    </row>
    <row r="17" spans="1:2" ht="15">
      <c r="A17" s="177" t="s">
        <v>177</v>
      </c>
      <c r="B17" s="175" t="s">
        <v>178</v>
      </c>
    </row>
    <row r="18" spans="1:2" ht="15">
      <c r="A18" s="177" t="s">
        <v>179</v>
      </c>
      <c r="B18" s="175" t="s">
        <v>180</v>
      </c>
    </row>
  </sheetData>
  <sheetProtection/>
  <mergeCells count="2">
    <mergeCell ref="A6:B6"/>
    <mergeCell ref="A9:B9"/>
  </mergeCells>
  <hyperlinks>
    <hyperlink ref="B3" location="'Chiffres Clés'!A1" display="Chiffres Clés"/>
    <hyperlink ref="B7" location="LOG1a!A1" display="LOG1a"/>
    <hyperlink ref="B8" location="LOG1b!A1" display="LOG1b"/>
    <hyperlink ref="B10" location="Log2a!A1" display="Log2a!A1"/>
    <hyperlink ref="B11" location="Log2b!Impression_des_titres" display="LOG2b"/>
    <hyperlink ref="B12" location="Log2c!A1" display="Log2c!A1"/>
    <hyperlink ref="B13" location="Log2d!A1" display="Log2d!A1"/>
    <hyperlink ref="B14" location="Log2e!A1" display="Log2e!A1"/>
    <hyperlink ref="B15" location="Log2f!A1" display="Log2f!A1"/>
    <hyperlink ref="B16" location="LOG3a!A1" display="LOG3a!A1"/>
    <hyperlink ref="B17" location="LOG4a!A1" display="LOG4a!A1"/>
    <hyperlink ref="B18" location="LOG5a!A1" display="LOG5a!A1"/>
    <hyperlink ref="B4" location="'Chiffres clés - Administratif'!A1" display="'Chiffres clés - Administratif'!A1"/>
    <hyperlink ref="B5" location="'Chiffres clés - Géographique'!A1" display="'Chiffres clés - Géographique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9.421875" style="35" bestFit="1" customWidth="1"/>
    <col min="2" max="3" width="11.421875" style="35" customWidth="1"/>
    <col min="4" max="4" width="16.421875" style="35" customWidth="1"/>
    <col min="5" max="16384" width="11.421875" style="35" customWidth="1"/>
  </cols>
  <sheetData>
    <row r="1" spans="1:4" ht="35.25" customHeight="1">
      <c r="A1" s="224" t="s">
        <v>147</v>
      </c>
      <c r="B1" s="224"/>
      <c r="C1" s="224"/>
      <c r="D1" s="224"/>
    </row>
    <row r="2" spans="1:4" ht="11.25">
      <c r="A2" s="225"/>
      <c r="B2" s="225"/>
      <c r="C2" s="225"/>
      <c r="D2" s="138"/>
    </row>
    <row r="3" spans="1:4" ht="22.5">
      <c r="A3" s="122" t="s">
        <v>78</v>
      </c>
      <c r="B3" s="123" t="s">
        <v>79</v>
      </c>
      <c r="C3" s="123" t="s">
        <v>80</v>
      </c>
      <c r="D3" s="124" t="s">
        <v>9</v>
      </c>
    </row>
    <row r="4" spans="1:4" ht="11.25">
      <c r="A4" s="122"/>
      <c r="B4" s="123"/>
      <c r="C4" s="123"/>
      <c r="D4" s="124"/>
    </row>
    <row r="5" spans="1:4" ht="11.25">
      <c r="A5" s="122"/>
      <c r="B5" s="123"/>
      <c r="C5" s="123"/>
      <c r="D5" s="124"/>
    </row>
    <row r="6" spans="1:4" ht="11.25">
      <c r="A6" s="100" t="s">
        <v>81</v>
      </c>
      <c r="B6" s="101">
        <v>2597</v>
      </c>
      <c r="C6" s="101">
        <v>9190</v>
      </c>
      <c r="D6" s="125">
        <v>3.5386984982672316</v>
      </c>
    </row>
    <row r="7" spans="1:4" ht="11.25">
      <c r="A7" s="102"/>
      <c r="B7" s="103"/>
      <c r="C7" s="103"/>
      <c r="D7" s="126"/>
    </row>
    <row r="8" spans="1:4" ht="11.25">
      <c r="A8" s="100" t="s">
        <v>82</v>
      </c>
      <c r="B8" s="101"/>
      <c r="C8" s="101"/>
      <c r="D8" s="125"/>
    </row>
    <row r="9" spans="1:4" ht="11.25">
      <c r="A9" s="102" t="s">
        <v>83</v>
      </c>
      <c r="B9" s="104">
        <v>380</v>
      </c>
      <c r="C9" s="104">
        <v>380</v>
      </c>
      <c r="D9" s="126">
        <v>1</v>
      </c>
    </row>
    <row r="10" spans="1:4" ht="11.25">
      <c r="A10" s="102" t="s">
        <v>84</v>
      </c>
      <c r="B10" s="104">
        <v>498</v>
      </c>
      <c r="C10" s="104">
        <v>996</v>
      </c>
      <c r="D10" s="126">
        <v>2</v>
      </c>
    </row>
    <row r="11" spans="1:4" ht="11.25">
      <c r="A11" s="102" t="s">
        <v>85</v>
      </c>
      <c r="B11" s="104">
        <v>514</v>
      </c>
      <c r="C11" s="104">
        <v>1542</v>
      </c>
      <c r="D11" s="126">
        <v>3</v>
      </c>
    </row>
    <row r="12" spans="1:4" ht="11.25">
      <c r="A12" s="102" t="s">
        <v>86</v>
      </c>
      <c r="B12" s="104">
        <v>473</v>
      </c>
      <c r="C12" s="104">
        <v>1892</v>
      </c>
      <c r="D12" s="126">
        <v>4</v>
      </c>
    </row>
    <row r="13" spans="1:4" ht="11.25">
      <c r="A13" s="102" t="s">
        <v>87</v>
      </c>
      <c r="B13" s="104">
        <v>354</v>
      </c>
      <c r="C13" s="104">
        <v>1770</v>
      </c>
      <c r="D13" s="126">
        <v>5</v>
      </c>
    </row>
    <row r="14" spans="1:4" ht="11.25">
      <c r="A14" s="102" t="s">
        <v>88</v>
      </c>
      <c r="B14" s="104">
        <v>206</v>
      </c>
      <c r="C14" s="104">
        <v>1236</v>
      </c>
      <c r="D14" s="126">
        <v>6</v>
      </c>
    </row>
    <row r="15" spans="1:4" ht="11.25">
      <c r="A15" s="102" t="s">
        <v>89</v>
      </c>
      <c r="B15" s="104">
        <v>89</v>
      </c>
      <c r="C15" s="104">
        <v>623</v>
      </c>
      <c r="D15" s="126">
        <v>7</v>
      </c>
    </row>
    <row r="16" spans="1:4" ht="11.25">
      <c r="A16" s="102" t="s">
        <v>90</v>
      </c>
      <c r="B16" s="104">
        <v>83</v>
      </c>
      <c r="C16" s="104">
        <v>751</v>
      </c>
      <c r="D16" s="126">
        <v>9.048192771084338</v>
      </c>
    </row>
    <row r="17" spans="1:4" ht="11.25">
      <c r="A17" s="100" t="s">
        <v>10</v>
      </c>
      <c r="B17" s="101"/>
      <c r="C17" s="101"/>
      <c r="D17" s="125"/>
    </row>
    <row r="18" spans="1:4" ht="11.25">
      <c r="A18" s="105" t="s">
        <v>145</v>
      </c>
      <c r="B18" s="104">
        <v>1918</v>
      </c>
      <c r="C18" s="104">
        <v>6585</v>
      </c>
      <c r="D18" s="126">
        <v>3.4332638164754954</v>
      </c>
    </row>
    <row r="19" spans="1:4" ht="11.25">
      <c r="A19" s="105" t="s">
        <v>92</v>
      </c>
      <c r="B19" s="104">
        <v>575</v>
      </c>
      <c r="C19" s="104">
        <v>2289</v>
      </c>
      <c r="D19" s="126">
        <v>3.9808695652173913</v>
      </c>
    </row>
    <row r="20" spans="1:4" ht="11.25">
      <c r="A20" s="152" t="s">
        <v>93</v>
      </c>
      <c r="B20" s="153">
        <v>15</v>
      </c>
      <c r="C20" s="153">
        <v>41</v>
      </c>
      <c r="D20" s="126">
        <v>2.7333333333333334</v>
      </c>
    </row>
    <row r="21" spans="1:4" ht="11.25">
      <c r="A21" s="152" t="s">
        <v>95</v>
      </c>
      <c r="B21" s="153">
        <v>38</v>
      </c>
      <c r="C21" s="153">
        <v>115</v>
      </c>
      <c r="D21" s="126">
        <v>3.026315789473684</v>
      </c>
    </row>
    <row r="22" spans="1:4" ht="11.25">
      <c r="A22" s="152" t="s">
        <v>94</v>
      </c>
      <c r="B22" s="153">
        <v>4</v>
      </c>
      <c r="C22" s="153">
        <v>13</v>
      </c>
      <c r="D22" s="126">
        <v>3.25</v>
      </c>
    </row>
    <row r="23" spans="1:4" ht="11.25">
      <c r="A23" s="152" t="s">
        <v>96</v>
      </c>
      <c r="B23" s="153">
        <v>12</v>
      </c>
      <c r="C23" s="153">
        <v>31</v>
      </c>
      <c r="D23" s="126">
        <v>2.5833333333333335</v>
      </c>
    </row>
    <row r="24" spans="1:4" ht="11.25">
      <c r="A24" s="152" t="s">
        <v>97</v>
      </c>
      <c r="B24" s="153">
        <v>3</v>
      </c>
      <c r="C24" s="153">
        <v>16</v>
      </c>
      <c r="D24" s="126">
        <v>5.333333333333333</v>
      </c>
    </row>
    <row r="25" spans="1:4" ht="11.25">
      <c r="A25" s="152" t="s">
        <v>98</v>
      </c>
      <c r="B25" s="153">
        <v>0</v>
      </c>
      <c r="C25" s="153">
        <v>0</v>
      </c>
      <c r="D25" s="126"/>
    </row>
    <row r="26" spans="1:4" ht="11.25">
      <c r="A26" s="152" t="s">
        <v>99</v>
      </c>
      <c r="B26" s="153">
        <v>32</v>
      </c>
      <c r="C26" s="153">
        <v>100</v>
      </c>
      <c r="D26" s="126">
        <v>3.125</v>
      </c>
    </row>
    <row r="27" spans="1:4" ht="11.25">
      <c r="A27" s="100" t="s">
        <v>11</v>
      </c>
      <c r="B27" s="101"/>
      <c r="C27" s="101"/>
      <c r="D27" s="125"/>
    </row>
    <row r="28" spans="1:4" ht="11.25">
      <c r="A28" s="102" t="s">
        <v>100</v>
      </c>
      <c r="B28" s="104">
        <v>213</v>
      </c>
      <c r="C28" s="104">
        <v>544</v>
      </c>
      <c r="D28" s="141">
        <v>2.5539906103286385</v>
      </c>
    </row>
    <row r="29" spans="1:4" ht="11.25">
      <c r="A29" s="102" t="s">
        <v>101</v>
      </c>
      <c r="B29" s="104">
        <v>552</v>
      </c>
      <c r="C29" s="104">
        <v>1753</v>
      </c>
      <c r="D29" s="141">
        <v>3.175724637681159</v>
      </c>
    </row>
    <row r="30" spans="1:4" ht="11.25">
      <c r="A30" s="102" t="s">
        <v>102</v>
      </c>
      <c r="B30" s="104">
        <v>1006</v>
      </c>
      <c r="C30" s="104">
        <v>3568</v>
      </c>
      <c r="D30" s="141">
        <v>3.5467196819085487</v>
      </c>
    </row>
    <row r="31" spans="1:4" ht="11.25">
      <c r="A31" s="102" t="s">
        <v>103</v>
      </c>
      <c r="B31" s="104">
        <v>605</v>
      </c>
      <c r="C31" s="104">
        <v>2376</v>
      </c>
      <c r="D31" s="141">
        <v>3.9272727272727272</v>
      </c>
    </row>
    <row r="32" spans="1:4" ht="11.25">
      <c r="A32" s="102" t="s">
        <v>104</v>
      </c>
      <c r="B32" s="104">
        <v>162</v>
      </c>
      <c r="C32" s="104">
        <v>694</v>
      </c>
      <c r="D32" s="141">
        <v>4.283950617283951</v>
      </c>
    </row>
    <row r="33" spans="1:4" ht="11.25">
      <c r="A33" s="102" t="s">
        <v>105</v>
      </c>
      <c r="B33" s="104">
        <v>59</v>
      </c>
      <c r="C33" s="104">
        <v>255</v>
      </c>
      <c r="D33" s="141">
        <v>4.322033898305085</v>
      </c>
    </row>
    <row r="34" spans="1:4" ht="11.25">
      <c r="A34" s="100" t="s">
        <v>12</v>
      </c>
      <c r="B34" s="101"/>
      <c r="C34" s="101"/>
      <c r="D34" s="125"/>
    </row>
    <row r="35" spans="1:4" ht="11.25">
      <c r="A35" s="105" t="s">
        <v>106</v>
      </c>
      <c r="B35" s="104">
        <v>873</v>
      </c>
      <c r="C35" s="104">
        <v>3033</v>
      </c>
      <c r="D35" s="141">
        <v>3.4742268041237114</v>
      </c>
    </row>
    <row r="36" spans="1:4" ht="11.25">
      <c r="A36" s="105" t="s">
        <v>107</v>
      </c>
      <c r="B36" s="104">
        <v>417</v>
      </c>
      <c r="C36" s="104">
        <v>1549</v>
      </c>
      <c r="D36" s="141">
        <v>3.7146282973621103</v>
      </c>
    </row>
    <row r="37" spans="1:4" ht="11.25">
      <c r="A37" s="105" t="s">
        <v>108</v>
      </c>
      <c r="B37" s="104">
        <v>470</v>
      </c>
      <c r="C37" s="104">
        <v>1760</v>
      </c>
      <c r="D37" s="141">
        <v>3.74468085106383</v>
      </c>
    </row>
    <row r="38" spans="1:4" ht="11.25">
      <c r="A38" s="105" t="s">
        <v>109</v>
      </c>
      <c r="B38" s="104">
        <v>495</v>
      </c>
      <c r="C38" s="104">
        <v>1739</v>
      </c>
      <c r="D38" s="141">
        <v>3.5131313131313133</v>
      </c>
    </row>
    <row r="39" spans="1:4" ht="11.25">
      <c r="A39" s="105" t="s">
        <v>110</v>
      </c>
      <c r="B39" s="104">
        <v>342</v>
      </c>
      <c r="C39" s="104">
        <v>1109</v>
      </c>
      <c r="D39" s="141">
        <v>3.242690058479532</v>
      </c>
    </row>
    <row r="40" spans="1:4" ht="11.25">
      <c r="A40" s="100" t="s">
        <v>13</v>
      </c>
      <c r="B40" s="101"/>
      <c r="C40" s="101"/>
      <c r="D40" s="125"/>
    </row>
    <row r="41" spans="1:4" ht="11.25">
      <c r="A41" s="105" t="s">
        <v>111</v>
      </c>
      <c r="B41" s="104">
        <v>1003</v>
      </c>
      <c r="C41" s="104">
        <v>3564</v>
      </c>
      <c r="D41" s="141">
        <v>3.5533399800598207</v>
      </c>
    </row>
    <row r="42" spans="1:4" ht="11.25">
      <c r="A42" s="105" t="s">
        <v>112</v>
      </c>
      <c r="B42" s="104">
        <v>1551</v>
      </c>
      <c r="C42" s="104">
        <v>5495</v>
      </c>
      <c r="D42" s="141">
        <v>3.54287556415216</v>
      </c>
    </row>
    <row r="43" spans="1:4" ht="11.25">
      <c r="A43" s="105" t="s">
        <v>113</v>
      </c>
      <c r="B43" s="104">
        <v>17</v>
      </c>
      <c r="C43" s="104">
        <v>46</v>
      </c>
      <c r="D43" s="141">
        <v>2.7058823529411766</v>
      </c>
    </row>
    <row r="44" spans="1:4" ht="11.25">
      <c r="A44" s="105" t="s">
        <v>114</v>
      </c>
      <c r="B44" s="104">
        <v>6</v>
      </c>
      <c r="C44" s="104">
        <v>16</v>
      </c>
      <c r="D44" s="141">
        <v>2.6666666666666665</v>
      </c>
    </row>
    <row r="45" spans="1:4" ht="11.25">
      <c r="A45" s="105" t="s">
        <v>115</v>
      </c>
      <c r="B45" s="104">
        <v>20</v>
      </c>
      <c r="C45" s="104">
        <v>69</v>
      </c>
      <c r="D45" s="141">
        <v>3.45</v>
      </c>
    </row>
    <row r="46" spans="1:4" ht="11.25">
      <c r="A46" s="100" t="s">
        <v>14</v>
      </c>
      <c r="B46" s="101"/>
      <c r="C46" s="101"/>
      <c r="D46" s="125"/>
    </row>
    <row r="47" spans="1:4" ht="11.25">
      <c r="A47" s="105" t="s">
        <v>114</v>
      </c>
      <c r="B47" s="104">
        <v>2538</v>
      </c>
      <c r="C47" s="104">
        <v>9006</v>
      </c>
      <c r="D47" s="141">
        <v>3.548463356973995</v>
      </c>
    </row>
    <row r="48" spans="1:4" ht="11.25">
      <c r="A48" s="105" t="s">
        <v>116</v>
      </c>
      <c r="B48" s="104">
        <v>36</v>
      </c>
      <c r="C48" s="104">
        <v>107</v>
      </c>
      <c r="D48" s="141">
        <v>2.9722222222222223</v>
      </c>
    </row>
    <row r="49" spans="1:4" ht="11.25">
      <c r="A49" s="105" t="s">
        <v>117</v>
      </c>
      <c r="B49" s="104">
        <v>14</v>
      </c>
      <c r="C49" s="104">
        <v>55</v>
      </c>
      <c r="D49" s="141">
        <v>3.9285714285714284</v>
      </c>
    </row>
    <row r="50" spans="1:4" ht="11.25">
      <c r="A50" s="105" t="s">
        <v>118</v>
      </c>
      <c r="B50" s="104">
        <v>7</v>
      </c>
      <c r="C50" s="104">
        <v>18</v>
      </c>
      <c r="D50" s="141">
        <v>2.5714285714285716</v>
      </c>
    </row>
    <row r="51" spans="1:4" ht="11.25">
      <c r="A51" s="154" t="s">
        <v>119</v>
      </c>
      <c r="B51" s="104">
        <v>2</v>
      </c>
      <c r="C51" s="104">
        <v>4</v>
      </c>
      <c r="D51" s="141">
        <v>2</v>
      </c>
    </row>
    <row r="52" spans="1:4" ht="11.25">
      <c r="A52" s="100" t="s">
        <v>15</v>
      </c>
      <c r="B52" s="155"/>
      <c r="C52" s="155"/>
      <c r="D52" s="156"/>
    </row>
    <row r="53" spans="1:4" ht="11.25">
      <c r="A53" s="105" t="s">
        <v>117</v>
      </c>
      <c r="B53" s="104">
        <v>1825</v>
      </c>
      <c r="C53" s="104">
        <v>6448</v>
      </c>
      <c r="D53" s="141">
        <v>3.5331506849315066</v>
      </c>
    </row>
    <row r="54" spans="1:4" ht="11.25">
      <c r="A54" s="105" t="s">
        <v>120</v>
      </c>
      <c r="B54" s="104">
        <v>757</v>
      </c>
      <c r="C54" s="104">
        <v>2709</v>
      </c>
      <c r="D54" s="141">
        <v>3.5785997357992074</v>
      </c>
    </row>
    <row r="55" spans="1:4" ht="11.25">
      <c r="A55" s="105" t="s">
        <v>121</v>
      </c>
      <c r="B55" s="104">
        <v>8</v>
      </c>
      <c r="C55" s="104">
        <v>14</v>
      </c>
      <c r="D55" s="141">
        <v>1.75</v>
      </c>
    </row>
    <row r="56" spans="1:4" ht="11.25">
      <c r="A56" s="102" t="s">
        <v>122</v>
      </c>
      <c r="B56" s="103">
        <v>7</v>
      </c>
      <c r="C56" s="103">
        <v>19</v>
      </c>
      <c r="D56" s="126">
        <v>2.7142857142857144</v>
      </c>
    </row>
    <row r="57" spans="1:4" ht="11.25">
      <c r="A57" s="100" t="s">
        <v>16</v>
      </c>
      <c r="B57" s="101"/>
      <c r="C57" s="101"/>
      <c r="D57" s="125"/>
    </row>
    <row r="58" spans="1:4" ht="11.25">
      <c r="A58" s="105" t="s">
        <v>123</v>
      </c>
      <c r="B58" s="104">
        <v>2421</v>
      </c>
      <c r="C58" s="104">
        <v>8542</v>
      </c>
      <c r="D58" s="126">
        <v>3.528294093349855</v>
      </c>
    </row>
    <row r="59" spans="1:4" ht="11.25">
      <c r="A59" s="105" t="s">
        <v>124</v>
      </c>
      <c r="B59" s="104">
        <v>145</v>
      </c>
      <c r="C59" s="104">
        <v>564</v>
      </c>
      <c r="D59" s="126">
        <v>3.889655172413793</v>
      </c>
    </row>
    <row r="60" spans="1:4" ht="11.25">
      <c r="A60" s="105" t="s">
        <v>125</v>
      </c>
      <c r="B60" s="104">
        <v>31</v>
      </c>
      <c r="C60" s="104">
        <v>84</v>
      </c>
      <c r="D60" s="126">
        <v>2.7096774193548385</v>
      </c>
    </row>
    <row r="61" spans="1:4" ht="11.25">
      <c r="A61" s="100" t="s">
        <v>17</v>
      </c>
      <c r="B61" s="101"/>
      <c r="C61" s="101"/>
      <c r="D61" s="125"/>
    </row>
    <row r="62" spans="1:4" ht="11.25">
      <c r="A62" s="102" t="s">
        <v>18</v>
      </c>
      <c r="B62" s="109">
        <v>2430</v>
      </c>
      <c r="C62" s="109">
        <v>8604</v>
      </c>
      <c r="D62" s="140">
        <v>3.5407407407407407</v>
      </c>
    </row>
    <row r="63" spans="1:4" ht="11.25">
      <c r="A63" s="102" t="s">
        <v>19</v>
      </c>
      <c r="B63" s="109">
        <v>107</v>
      </c>
      <c r="C63" s="109">
        <v>441</v>
      </c>
      <c r="D63" s="140">
        <v>4.121495327102804</v>
      </c>
    </row>
    <row r="64" spans="1:4" ht="11.25">
      <c r="A64" s="102" t="s">
        <v>20</v>
      </c>
      <c r="B64" s="109">
        <v>51</v>
      </c>
      <c r="C64" s="109">
        <v>129</v>
      </c>
      <c r="D64" s="140">
        <v>2.5294117647058822</v>
      </c>
    </row>
    <row r="65" spans="1:4" ht="11.25">
      <c r="A65" s="102" t="s">
        <v>21</v>
      </c>
      <c r="B65" s="103">
        <v>9</v>
      </c>
      <c r="C65" s="103">
        <v>16</v>
      </c>
      <c r="D65" s="126">
        <v>1.7777777777777777</v>
      </c>
    </row>
    <row r="66" spans="1:4" ht="11.25">
      <c r="A66" s="100" t="s">
        <v>22</v>
      </c>
      <c r="B66" s="101"/>
      <c r="C66" s="101"/>
      <c r="D66" s="125"/>
    </row>
    <row r="67" spans="1:4" ht="11.25">
      <c r="A67" s="102" t="s">
        <v>23</v>
      </c>
      <c r="B67" s="103">
        <v>2337</v>
      </c>
      <c r="C67" s="103">
        <v>8331</v>
      </c>
      <c r="D67" s="126">
        <v>3.564826700898588</v>
      </c>
    </row>
    <row r="68" spans="1:4" ht="11.25">
      <c r="A68" s="102" t="s">
        <v>24</v>
      </c>
      <c r="B68" s="103">
        <v>26</v>
      </c>
      <c r="C68" s="103">
        <v>79</v>
      </c>
      <c r="D68" s="126">
        <v>3.0384615384615383</v>
      </c>
    </row>
    <row r="69" spans="1:4" ht="11.25">
      <c r="A69" s="102" t="s">
        <v>25</v>
      </c>
      <c r="B69" s="103">
        <v>41</v>
      </c>
      <c r="C69" s="103">
        <v>155</v>
      </c>
      <c r="D69" s="126">
        <v>3.7804878048780486</v>
      </c>
    </row>
    <row r="70" spans="1:4" ht="11.25">
      <c r="A70" s="110" t="s">
        <v>26</v>
      </c>
      <c r="B70" s="103">
        <v>193</v>
      </c>
      <c r="C70" s="103">
        <v>625</v>
      </c>
      <c r="D70" s="126">
        <v>3.238341968911917</v>
      </c>
    </row>
    <row r="71" spans="1:4" ht="11.25">
      <c r="A71" s="100" t="s">
        <v>127</v>
      </c>
      <c r="B71" s="101"/>
      <c r="C71" s="101"/>
      <c r="D71" s="130"/>
    </row>
    <row r="72" spans="1:4" ht="11.25">
      <c r="A72" s="102" t="s">
        <v>128</v>
      </c>
      <c r="B72" s="104">
        <v>2480</v>
      </c>
      <c r="C72" s="104">
        <v>8908</v>
      </c>
      <c r="D72" s="141">
        <v>3.5919354838709676</v>
      </c>
    </row>
    <row r="73" spans="1:4" ht="11.25">
      <c r="A73" s="102" t="s">
        <v>129</v>
      </c>
      <c r="B73" s="104">
        <v>27</v>
      </c>
      <c r="C73" s="104">
        <v>74</v>
      </c>
      <c r="D73" s="141">
        <v>2.740740740740741</v>
      </c>
    </row>
    <row r="74" spans="1:4" ht="11.25">
      <c r="A74" s="102" t="s">
        <v>130</v>
      </c>
      <c r="B74" s="104">
        <v>30</v>
      </c>
      <c r="C74" s="104">
        <v>63</v>
      </c>
      <c r="D74" s="141">
        <v>2.1</v>
      </c>
    </row>
    <row r="75" spans="1:4" ht="11.25">
      <c r="A75" s="102" t="s">
        <v>131</v>
      </c>
      <c r="B75" s="104"/>
      <c r="C75" s="104"/>
      <c r="D75" s="141"/>
    </row>
    <row r="76" spans="1:4" ht="11.25">
      <c r="A76" s="105" t="s">
        <v>132</v>
      </c>
      <c r="B76" s="104">
        <v>57</v>
      </c>
      <c r="C76" s="104">
        <v>139</v>
      </c>
      <c r="D76" s="141">
        <v>2.43859649122807</v>
      </c>
    </row>
    <row r="77" spans="1:4" ht="11.25">
      <c r="A77" s="105" t="s">
        <v>99</v>
      </c>
      <c r="B77" s="104">
        <v>3</v>
      </c>
      <c r="C77" s="104">
        <v>6</v>
      </c>
      <c r="D77" s="141">
        <v>2</v>
      </c>
    </row>
    <row r="78" spans="1:4" ht="11.25">
      <c r="A78" s="100" t="s">
        <v>28</v>
      </c>
      <c r="B78" s="101"/>
      <c r="C78" s="101"/>
      <c r="D78" s="130"/>
    </row>
    <row r="79" spans="1:4" ht="11.25">
      <c r="A79" s="102" t="s">
        <v>133</v>
      </c>
      <c r="B79" s="104">
        <v>2386</v>
      </c>
      <c r="C79" s="104">
        <v>8399</v>
      </c>
      <c r="D79" s="126">
        <v>3.5201173512154234</v>
      </c>
    </row>
    <row r="80" spans="1:4" ht="11.25">
      <c r="A80" s="102" t="s">
        <v>134</v>
      </c>
      <c r="B80" s="104">
        <v>95</v>
      </c>
      <c r="C80" s="104">
        <v>334</v>
      </c>
      <c r="D80" s="126">
        <v>3.5157894736842104</v>
      </c>
    </row>
    <row r="81" spans="1:4" ht="11.25">
      <c r="A81" s="102" t="s">
        <v>135</v>
      </c>
      <c r="B81" s="104">
        <v>116</v>
      </c>
      <c r="C81" s="104">
        <v>457</v>
      </c>
      <c r="D81" s="126">
        <v>3.939655172413793</v>
      </c>
    </row>
    <row r="82" spans="1:4" ht="11.25">
      <c r="A82" s="100" t="s">
        <v>29</v>
      </c>
      <c r="B82" s="101"/>
      <c r="C82" s="101"/>
      <c r="D82" s="130"/>
    </row>
    <row r="83" spans="1:4" ht="11.25">
      <c r="A83" s="102" t="s">
        <v>128</v>
      </c>
      <c r="B83" s="104">
        <v>2471</v>
      </c>
      <c r="C83" s="104">
        <v>8831</v>
      </c>
      <c r="D83" s="126">
        <v>3.573856738162687</v>
      </c>
    </row>
    <row r="84" spans="1:4" ht="11.25">
      <c r="A84" s="102" t="s">
        <v>136</v>
      </c>
      <c r="B84" s="104">
        <v>126</v>
      </c>
      <c r="C84" s="104">
        <v>359</v>
      </c>
      <c r="D84" s="126">
        <v>2.8492063492063493</v>
      </c>
    </row>
    <row r="85" spans="1:4" ht="11.25">
      <c r="A85" s="100" t="s">
        <v>30</v>
      </c>
      <c r="B85" s="101"/>
      <c r="C85" s="101"/>
      <c r="D85" s="125"/>
    </row>
    <row r="86" spans="1:4" ht="11.25">
      <c r="A86" s="102" t="s">
        <v>137</v>
      </c>
      <c r="B86" s="104">
        <v>29</v>
      </c>
      <c r="C86" s="104">
        <v>116</v>
      </c>
      <c r="D86" s="126">
        <v>4</v>
      </c>
    </row>
    <row r="87" spans="1:4" ht="11.25">
      <c r="A87" s="102" t="s">
        <v>138</v>
      </c>
      <c r="B87" s="104">
        <v>2514</v>
      </c>
      <c r="C87" s="104">
        <v>8915</v>
      </c>
      <c r="D87" s="126">
        <v>3.5461416070007954</v>
      </c>
    </row>
    <row r="88" spans="1:4" ht="11.25">
      <c r="A88" s="102" t="s">
        <v>139</v>
      </c>
      <c r="B88" s="104">
        <v>54</v>
      </c>
      <c r="C88" s="104">
        <v>159</v>
      </c>
      <c r="D88" s="126">
        <v>2.9444444444444446</v>
      </c>
    </row>
    <row r="89" spans="1:4" ht="11.25">
      <c r="A89" s="100" t="s">
        <v>43</v>
      </c>
      <c r="B89" s="101"/>
      <c r="C89" s="101"/>
      <c r="D89" s="131"/>
    </row>
    <row r="90" spans="1:4" ht="11.25">
      <c r="A90" s="102" t="s">
        <v>31</v>
      </c>
      <c r="B90" s="111">
        <v>0.91</v>
      </c>
      <c r="C90" s="112">
        <v>8410</v>
      </c>
      <c r="D90" s="126">
        <v>3.6</v>
      </c>
    </row>
    <row r="91" spans="1:4" ht="11.25">
      <c r="A91" s="102" t="s">
        <v>140</v>
      </c>
      <c r="B91" s="111">
        <v>0.916</v>
      </c>
      <c r="C91" s="112">
        <v>8486</v>
      </c>
      <c r="D91" s="144">
        <v>3.6</v>
      </c>
    </row>
    <row r="92" spans="1:4" ht="11.25">
      <c r="A92" s="113" t="s">
        <v>33</v>
      </c>
      <c r="B92" s="115">
        <v>0.045</v>
      </c>
      <c r="C92" s="116">
        <v>317</v>
      </c>
      <c r="D92" s="145">
        <v>2.7</v>
      </c>
    </row>
    <row r="93" spans="1:4" ht="11.25">
      <c r="A93" s="102" t="s">
        <v>34</v>
      </c>
      <c r="B93" s="115">
        <v>0.169</v>
      </c>
      <c r="C93" s="146">
        <v>1379</v>
      </c>
      <c r="D93" s="145">
        <v>3.1</v>
      </c>
    </row>
    <row r="94" spans="1:4" ht="11.25">
      <c r="A94" s="102" t="s">
        <v>35</v>
      </c>
      <c r="B94" s="115">
        <v>0.092</v>
      </c>
      <c r="C94" s="146">
        <v>733</v>
      </c>
      <c r="D94" s="145">
        <v>3.1</v>
      </c>
    </row>
    <row r="95" spans="1:4" ht="11.25">
      <c r="A95" s="102" t="s">
        <v>36</v>
      </c>
      <c r="B95" s="115">
        <v>0.874</v>
      </c>
      <c r="C95" s="116">
        <v>8345</v>
      </c>
      <c r="D95" s="145">
        <v>3.7424627</v>
      </c>
    </row>
    <row r="96" spans="1:4" ht="11.25">
      <c r="A96" s="102" t="s">
        <v>37</v>
      </c>
      <c r="B96" s="115">
        <v>0.646</v>
      </c>
      <c r="C96" s="146">
        <v>8119</v>
      </c>
      <c r="D96" s="145">
        <v>3.976883284836728</v>
      </c>
    </row>
    <row r="97" spans="1:4" ht="11.25">
      <c r="A97" s="102" t="s">
        <v>38</v>
      </c>
      <c r="B97" s="115">
        <v>0.387</v>
      </c>
      <c r="C97" s="116">
        <v>3646</v>
      </c>
      <c r="D97" s="145">
        <v>3.607231920199501</v>
      </c>
    </row>
    <row r="98" spans="1:4" ht="11.25">
      <c r="A98" s="102" t="s">
        <v>142</v>
      </c>
      <c r="B98" s="115">
        <v>0.209</v>
      </c>
      <c r="C98" s="107">
        <v>1778</v>
      </c>
      <c r="D98" s="145">
        <v>3.3</v>
      </c>
    </row>
    <row r="99" spans="1:4" ht="11.25">
      <c r="A99" s="102" t="s">
        <v>143</v>
      </c>
      <c r="B99" s="115">
        <v>0.808</v>
      </c>
      <c r="C99" s="116">
        <v>7777</v>
      </c>
      <c r="D99" s="145">
        <v>3.7</v>
      </c>
    </row>
    <row r="100" spans="1:4" ht="11.25">
      <c r="A100" s="102" t="s">
        <v>41</v>
      </c>
      <c r="B100" s="115">
        <v>0.522</v>
      </c>
      <c r="C100" s="116">
        <v>4905</v>
      </c>
      <c r="D100" s="145">
        <v>3.6</v>
      </c>
    </row>
    <row r="101" spans="1:4" ht="11.25">
      <c r="A101" s="102" t="s">
        <v>42</v>
      </c>
      <c r="B101" s="115">
        <v>0.773</v>
      </c>
      <c r="C101" s="116">
        <v>7434</v>
      </c>
      <c r="D101" s="145">
        <v>3.7</v>
      </c>
    </row>
    <row r="102" spans="1:4" ht="11.25">
      <c r="A102" s="100" t="s">
        <v>2</v>
      </c>
      <c r="B102" s="117"/>
      <c r="C102" s="101"/>
      <c r="D102" s="125"/>
    </row>
    <row r="103" spans="1:4" ht="11.25">
      <c r="A103" s="102" t="s">
        <v>62</v>
      </c>
      <c r="B103" s="111">
        <v>0.3812090874085483</v>
      </c>
      <c r="C103" s="104">
        <v>3188</v>
      </c>
      <c r="D103" s="147">
        <v>3.2997071265863975</v>
      </c>
    </row>
    <row r="104" spans="1:4" ht="11.25">
      <c r="A104" s="102" t="s">
        <v>59</v>
      </c>
      <c r="B104" s="111">
        <v>0.4593762033115133</v>
      </c>
      <c r="C104" s="104">
        <v>4309</v>
      </c>
      <c r="D104" s="147">
        <v>3.6073632687805914</v>
      </c>
    </row>
    <row r="105" spans="1:4" ht="11.25">
      <c r="A105" s="102" t="s">
        <v>60</v>
      </c>
      <c r="B105" s="111">
        <v>0.13977666538313438</v>
      </c>
      <c r="C105" s="104">
        <v>1475</v>
      </c>
      <c r="D105" s="147">
        <v>3.9531568228105907</v>
      </c>
    </row>
    <row r="106" spans="1:4" ht="11.25">
      <c r="A106" s="113" t="s">
        <v>61</v>
      </c>
      <c r="B106" s="111">
        <v>0.019638043896804003</v>
      </c>
      <c r="C106" s="104">
        <v>218</v>
      </c>
      <c r="D106" s="147">
        <v>4.764525993883792</v>
      </c>
    </row>
    <row r="107" spans="1:4" ht="11.25">
      <c r="A107" s="100" t="s">
        <v>1</v>
      </c>
      <c r="B107" s="117"/>
      <c r="C107" s="101"/>
      <c r="D107" s="125"/>
    </row>
    <row r="108" spans="1:4" ht="11.25">
      <c r="A108" s="102" t="s">
        <v>63</v>
      </c>
      <c r="B108" s="111">
        <v>0.9133615710435118</v>
      </c>
      <c r="C108" s="104">
        <v>8339</v>
      </c>
      <c r="D108" s="147">
        <v>3.5155986509274872</v>
      </c>
    </row>
    <row r="109" spans="1:4" ht="11.25">
      <c r="A109" s="102" t="s">
        <v>64</v>
      </c>
      <c r="B109" s="111">
        <v>0.07354639969195226</v>
      </c>
      <c r="C109" s="104">
        <v>691</v>
      </c>
      <c r="D109" s="147">
        <v>3.6178010471204187</v>
      </c>
    </row>
    <row r="110" spans="1:4" ht="11.25">
      <c r="A110" s="102" t="s">
        <v>65</v>
      </c>
      <c r="B110" s="111">
        <v>0.009241432422025414</v>
      </c>
      <c r="C110" s="104">
        <v>116</v>
      </c>
      <c r="D110" s="147">
        <v>4.833333333333333</v>
      </c>
    </row>
    <row r="111" spans="1:4" ht="11.25">
      <c r="A111" s="102" t="s">
        <v>66</v>
      </c>
      <c r="B111" s="111">
        <v>0.003850596842510589</v>
      </c>
      <c r="C111" s="142">
        <v>44</v>
      </c>
      <c r="D111" s="147">
        <v>4.4</v>
      </c>
    </row>
    <row r="112" spans="1:4" ht="11.25">
      <c r="A112" s="100" t="s">
        <v>67</v>
      </c>
      <c r="B112" s="101"/>
      <c r="C112" s="101"/>
      <c r="D112" s="125"/>
    </row>
    <row r="113" spans="1:4" ht="11.25">
      <c r="A113" s="102" t="s">
        <v>68</v>
      </c>
      <c r="B113" s="111">
        <v>0.8667693492491336</v>
      </c>
      <c r="C113" s="104">
        <v>7763</v>
      </c>
      <c r="D113" s="147">
        <v>3.4486894713460683</v>
      </c>
    </row>
    <row r="114" spans="1:4" ht="11.25">
      <c r="A114" s="102" t="s">
        <v>69</v>
      </c>
      <c r="B114" s="111">
        <v>0.11667308432807084</v>
      </c>
      <c r="C114" s="104">
        <v>1240</v>
      </c>
      <c r="D114" s="147">
        <v>4.092409240924092</v>
      </c>
    </row>
    <row r="115" spans="1:4" ht="11.25">
      <c r="A115" s="102" t="s">
        <v>70</v>
      </c>
      <c r="B115" s="111">
        <v>0.011936850211782826</v>
      </c>
      <c r="C115" s="104">
        <v>145</v>
      </c>
      <c r="D115" s="147">
        <v>4.67741935483871</v>
      </c>
    </row>
    <row r="116" spans="1:4" ht="11.25">
      <c r="A116" s="102" t="s">
        <v>71</v>
      </c>
      <c r="B116" s="111">
        <v>0.004620716211012707</v>
      </c>
      <c r="C116" s="142">
        <v>42</v>
      </c>
      <c r="D116" s="147">
        <v>3.5</v>
      </c>
    </row>
    <row r="117" spans="1:4" ht="11.25">
      <c r="A117" s="100" t="s">
        <v>72</v>
      </c>
      <c r="B117" s="117"/>
      <c r="C117" s="101"/>
      <c r="D117" s="125"/>
    </row>
    <row r="118" spans="1:4" ht="11.25">
      <c r="A118" s="102" t="s">
        <v>73</v>
      </c>
      <c r="B118" s="111">
        <v>0.8937235271467078</v>
      </c>
      <c r="C118" s="104">
        <v>8094</v>
      </c>
      <c r="D118" s="141">
        <v>3.4872899612236106</v>
      </c>
    </row>
    <row r="119" spans="1:4" ht="11.25">
      <c r="A119" s="102" t="s">
        <v>74</v>
      </c>
      <c r="B119" s="111">
        <v>0.08779360800924144</v>
      </c>
      <c r="C119" s="104">
        <v>912</v>
      </c>
      <c r="D119" s="141">
        <v>4</v>
      </c>
    </row>
    <row r="120" spans="1:4" ht="11.25">
      <c r="A120" s="102" t="s">
        <v>75</v>
      </c>
      <c r="B120" s="111">
        <v>0.011166730843280709</v>
      </c>
      <c r="C120" s="104">
        <v>111</v>
      </c>
      <c r="D120" s="141">
        <v>3.8275862068965516</v>
      </c>
    </row>
    <row r="121" spans="1:4" ht="11.25">
      <c r="A121" s="134" t="s">
        <v>76</v>
      </c>
      <c r="B121" s="135">
        <v>0.007316134000770119</v>
      </c>
      <c r="C121" s="150">
        <v>73</v>
      </c>
      <c r="D121" s="151">
        <v>3.8421052631578947</v>
      </c>
    </row>
    <row r="122" spans="1:4" ht="11.25">
      <c r="A122" s="120"/>
      <c r="B122" s="120"/>
      <c r="C122" s="120"/>
      <c r="D122" s="120"/>
    </row>
    <row r="123" spans="1:4" ht="11.25">
      <c r="A123" s="120"/>
      <c r="B123" s="120"/>
      <c r="C123" s="120"/>
      <c r="D123" s="41" t="s">
        <v>49</v>
      </c>
    </row>
  </sheetData>
  <sheetProtection/>
  <mergeCells count="2">
    <mergeCell ref="A1:D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9.421875" style="35" bestFit="1" customWidth="1"/>
    <col min="2" max="3" width="11.421875" style="35" customWidth="1"/>
    <col min="4" max="4" width="16.421875" style="35" customWidth="1"/>
    <col min="5" max="16384" width="11.421875" style="35" customWidth="1"/>
  </cols>
  <sheetData>
    <row r="1" spans="1:4" ht="11.25">
      <c r="A1" s="121"/>
      <c r="B1" s="121"/>
      <c r="C1" s="121"/>
      <c r="D1" s="121"/>
    </row>
    <row r="2" spans="1:4" ht="48.75" customHeight="1">
      <c r="A2" s="224" t="s">
        <v>148</v>
      </c>
      <c r="B2" s="224"/>
      <c r="C2" s="224"/>
      <c r="D2" s="224"/>
    </row>
    <row r="3" spans="1:4" ht="22.5">
      <c r="A3" s="97" t="s">
        <v>78</v>
      </c>
      <c r="B3" s="98" t="s">
        <v>79</v>
      </c>
      <c r="C3" s="98" t="s">
        <v>80</v>
      </c>
      <c r="D3" s="158" t="s">
        <v>9</v>
      </c>
    </row>
    <row r="4" spans="1:4" ht="11.25">
      <c r="A4" s="122"/>
      <c r="B4" s="123"/>
      <c r="C4" s="123"/>
      <c r="D4" s="124"/>
    </row>
    <row r="5" spans="1:4" ht="11.25">
      <c r="A5" s="122"/>
      <c r="B5" s="123"/>
      <c r="C5" s="123"/>
      <c r="D5" s="124"/>
    </row>
    <row r="6" spans="1:4" ht="11.25">
      <c r="A6" s="100" t="s">
        <v>81</v>
      </c>
      <c r="B6" s="101">
        <v>1837</v>
      </c>
      <c r="C6" s="101">
        <v>6739</v>
      </c>
      <c r="D6" s="125">
        <v>3.668481219379423</v>
      </c>
    </row>
    <row r="7" spans="1:4" ht="11.25">
      <c r="A7" s="102"/>
      <c r="B7" s="103"/>
      <c r="C7" s="103"/>
      <c r="D7" s="126"/>
    </row>
    <row r="8" spans="1:4" ht="11.25">
      <c r="A8" s="100" t="s">
        <v>82</v>
      </c>
      <c r="B8" s="101"/>
      <c r="C8" s="101"/>
      <c r="D8" s="125"/>
    </row>
    <row r="9" spans="1:4" ht="11.25">
      <c r="A9" s="102" t="s">
        <v>83</v>
      </c>
      <c r="B9" s="104">
        <v>304</v>
      </c>
      <c r="C9" s="104">
        <v>304</v>
      </c>
      <c r="D9" s="126">
        <v>1</v>
      </c>
    </row>
    <row r="10" spans="1:4" ht="11.25">
      <c r="A10" s="102" t="s">
        <v>84</v>
      </c>
      <c r="B10" s="104">
        <v>324</v>
      </c>
      <c r="C10" s="104">
        <v>648</v>
      </c>
      <c r="D10" s="126">
        <v>2</v>
      </c>
    </row>
    <row r="11" spans="1:4" ht="11.25">
      <c r="A11" s="102" t="s">
        <v>85</v>
      </c>
      <c r="B11" s="104">
        <v>320</v>
      </c>
      <c r="C11" s="104">
        <v>960</v>
      </c>
      <c r="D11" s="126">
        <v>3</v>
      </c>
    </row>
    <row r="12" spans="1:4" ht="11.25">
      <c r="A12" s="102" t="s">
        <v>86</v>
      </c>
      <c r="B12" s="104">
        <v>332</v>
      </c>
      <c r="C12" s="104">
        <v>1328</v>
      </c>
      <c r="D12" s="126">
        <v>4</v>
      </c>
    </row>
    <row r="13" spans="1:4" ht="11.25">
      <c r="A13" s="102" t="s">
        <v>87</v>
      </c>
      <c r="B13" s="104">
        <v>246</v>
      </c>
      <c r="C13" s="104">
        <v>1230</v>
      </c>
      <c r="D13" s="126">
        <v>5</v>
      </c>
    </row>
    <row r="14" spans="1:4" ht="11.25">
      <c r="A14" s="102" t="s">
        <v>88</v>
      </c>
      <c r="B14" s="104">
        <v>132</v>
      </c>
      <c r="C14" s="104">
        <v>792</v>
      </c>
      <c r="D14" s="126">
        <v>6</v>
      </c>
    </row>
    <row r="15" spans="1:4" ht="11.25">
      <c r="A15" s="102" t="s">
        <v>89</v>
      </c>
      <c r="B15" s="104">
        <v>78</v>
      </c>
      <c r="C15" s="104">
        <v>546</v>
      </c>
      <c r="D15" s="126">
        <v>7</v>
      </c>
    </row>
    <row r="16" spans="1:4" ht="11.25">
      <c r="A16" s="102" t="s">
        <v>90</v>
      </c>
      <c r="B16" s="104">
        <v>101</v>
      </c>
      <c r="C16" s="104">
        <v>931</v>
      </c>
      <c r="D16" s="126">
        <v>9.217821782178218</v>
      </c>
    </row>
    <row r="17" spans="1:4" ht="11.25">
      <c r="A17" s="100" t="s">
        <v>10</v>
      </c>
      <c r="B17" s="160"/>
      <c r="C17" s="101"/>
      <c r="D17" s="125"/>
    </row>
    <row r="18" spans="1:4" ht="11.25">
      <c r="A18" s="105" t="s">
        <v>145</v>
      </c>
      <c r="B18" s="104">
        <v>1402</v>
      </c>
      <c r="C18" s="104">
        <v>5108</v>
      </c>
      <c r="D18" s="126">
        <v>3.6433666191155494</v>
      </c>
    </row>
    <row r="19" spans="1:4" ht="11.25">
      <c r="A19" s="105" t="s">
        <v>92</v>
      </c>
      <c r="B19" s="104">
        <v>390</v>
      </c>
      <c r="C19" s="104">
        <v>1487</v>
      </c>
      <c r="D19" s="126">
        <v>3.812820512820513</v>
      </c>
    </row>
    <row r="20" spans="1:4" ht="11.25">
      <c r="A20" s="105" t="s">
        <v>93</v>
      </c>
      <c r="B20" s="104">
        <v>6</v>
      </c>
      <c r="C20" s="104">
        <v>17</v>
      </c>
      <c r="D20" s="126">
        <v>2.8333333333333335</v>
      </c>
    </row>
    <row r="21" spans="1:4" ht="11.25">
      <c r="A21" s="161" t="s">
        <v>95</v>
      </c>
      <c r="B21" s="104">
        <v>21</v>
      </c>
      <c r="C21" s="104">
        <v>69</v>
      </c>
      <c r="D21" s="126">
        <v>3.2857142857142856</v>
      </c>
    </row>
    <row r="22" spans="1:4" ht="11.25">
      <c r="A22" s="161" t="s">
        <v>94</v>
      </c>
      <c r="B22" s="107">
        <v>3</v>
      </c>
      <c r="C22" s="107">
        <v>12</v>
      </c>
      <c r="D22" s="126">
        <v>4</v>
      </c>
    </row>
    <row r="23" spans="1:4" ht="11.25">
      <c r="A23" s="105" t="s">
        <v>96</v>
      </c>
      <c r="B23" s="104">
        <v>7</v>
      </c>
      <c r="C23" s="104">
        <v>24</v>
      </c>
      <c r="D23" s="126">
        <v>3.4285714285714284</v>
      </c>
    </row>
    <row r="24" spans="1:4" ht="11.25">
      <c r="A24" s="105" t="s">
        <v>97</v>
      </c>
      <c r="B24" s="104">
        <v>6</v>
      </c>
      <c r="C24" s="104">
        <v>20</v>
      </c>
      <c r="D24" s="126">
        <v>3.3333333333333335</v>
      </c>
    </row>
    <row r="25" spans="1:4" ht="11.25">
      <c r="A25" s="105" t="s">
        <v>98</v>
      </c>
      <c r="B25" s="104"/>
      <c r="C25" s="104"/>
      <c r="D25" s="126"/>
    </row>
    <row r="26" spans="1:4" ht="11.25">
      <c r="A26" s="105" t="s">
        <v>99</v>
      </c>
      <c r="B26" s="104">
        <v>2</v>
      </c>
      <c r="C26" s="104">
        <v>2</v>
      </c>
      <c r="D26" s="126">
        <v>1</v>
      </c>
    </row>
    <row r="27" spans="1:4" ht="11.25">
      <c r="A27" s="100" t="s">
        <v>11</v>
      </c>
      <c r="B27" s="101"/>
      <c r="C27" s="101"/>
      <c r="D27" s="125"/>
    </row>
    <row r="28" spans="1:4" ht="11.25">
      <c r="A28" s="102" t="s">
        <v>100</v>
      </c>
      <c r="B28" s="104">
        <v>78</v>
      </c>
      <c r="C28" s="104">
        <v>183</v>
      </c>
      <c r="D28" s="141">
        <v>2.3461538461538463</v>
      </c>
    </row>
    <row r="29" spans="1:4" ht="11.25">
      <c r="A29" s="102" t="s">
        <v>101</v>
      </c>
      <c r="B29" s="104">
        <v>180</v>
      </c>
      <c r="C29" s="104">
        <v>491</v>
      </c>
      <c r="D29" s="141">
        <v>2.727777777777778</v>
      </c>
    </row>
    <row r="30" spans="1:4" ht="11.25">
      <c r="A30" s="102" t="s">
        <v>102</v>
      </c>
      <c r="B30" s="104">
        <v>651</v>
      </c>
      <c r="C30" s="104">
        <v>2191</v>
      </c>
      <c r="D30" s="141">
        <v>3.3655913978494625</v>
      </c>
    </row>
    <row r="31" spans="1:4" ht="11.25">
      <c r="A31" s="102" t="s">
        <v>103</v>
      </c>
      <c r="B31" s="104">
        <v>658</v>
      </c>
      <c r="C31" s="104">
        <v>2684</v>
      </c>
      <c r="D31" s="141">
        <v>4.079027355623101</v>
      </c>
    </row>
    <row r="32" spans="1:4" ht="11.25">
      <c r="A32" s="102" t="s">
        <v>104</v>
      </c>
      <c r="B32" s="104">
        <v>186</v>
      </c>
      <c r="C32" s="104">
        <v>820</v>
      </c>
      <c r="D32" s="141">
        <v>4.408602150537634</v>
      </c>
    </row>
    <row r="33" spans="1:4" ht="11.25">
      <c r="A33" s="102" t="s">
        <v>105</v>
      </c>
      <c r="B33" s="104">
        <v>84</v>
      </c>
      <c r="C33" s="104">
        <v>370</v>
      </c>
      <c r="D33" s="141">
        <v>4.404761904761905</v>
      </c>
    </row>
    <row r="34" spans="1:4" ht="11.25">
      <c r="A34" s="100" t="s">
        <v>12</v>
      </c>
      <c r="B34" s="160"/>
      <c r="C34" s="101"/>
      <c r="D34" s="125"/>
    </row>
    <row r="35" spans="1:4" ht="11.25">
      <c r="A35" s="105" t="s">
        <v>106</v>
      </c>
      <c r="B35" s="104">
        <v>735</v>
      </c>
      <c r="C35" s="104">
        <v>2715</v>
      </c>
      <c r="D35" s="141">
        <v>3.693877551020408</v>
      </c>
    </row>
    <row r="36" spans="1:4" ht="11.25">
      <c r="A36" s="105" t="s">
        <v>107</v>
      </c>
      <c r="B36" s="104">
        <v>341</v>
      </c>
      <c r="C36" s="104">
        <v>1294</v>
      </c>
      <c r="D36" s="141">
        <v>3.7947214076246336</v>
      </c>
    </row>
    <row r="37" spans="1:4" ht="11.25">
      <c r="A37" s="105" t="s">
        <v>108</v>
      </c>
      <c r="B37" s="104">
        <v>256</v>
      </c>
      <c r="C37" s="104">
        <v>1015</v>
      </c>
      <c r="D37" s="141">
        <v>3.96484375</v>
      </c>
    </row>
    <row r="38" spans="1:4" ht="11.25">
      <c r="A38" s="105" t="s">
        <v>109</v>
      </c>
      <c r="B38" s="104">
        <v>227</v>
      </c>
      <c r="C38" s="104">
        <v>802</v>
      </c>
      <c r="D38" s="141">
        <v>3.5330396475770924</v>
      </c>
    </row>
    <row r="39" spans="1:4" ht="11.25">
      <c r="A39" s="105" t="s">
        <v>110</v>
      </c>
      <c r="B39" s="104">
        <v>278</v>
      </c>
      <c r="C39" s="104">
        <v>913</v>
      </c>
      <c r="D39" s="141">
        <v>3.2841726618705036</v>
      </c>
    </row>
    <row r="40" spans="1:4" ht="11.25">
      <c r="A40" s="100" t="s">
        <v>13</v>
      </c>
      <c r="B40" s="101"/>
      <c r="C40" s="101"/>
      <c r="D40" s="125"/>
    </row>
    <row r="41" spans="1:4" ht="11.25">
      <c r="A41" s="105" t="s">
        <v>111</v>
      </c>
      <c r="B41" s="104">
        <v>1008</v>
      </c>
      <c r="C41" s="104">
        <v>3826</v>
      </c>
      <c r="D41" s="141">
        <v>3.7956349206349205</v>
      </c>
    </row>
    <row r="42" spans="1:4" ht="11.25">
      <c r="A42" s="105" t="s">
        <v>112</v>
      </c>
      <c r="B42" s="104">
        <v>677</v>
      </c>
      <c r="C42" s="104">
        <v>2396</v>
      </c>
      <c r="D42" s="141">
        <v>3.5391432791728215</v>
      </c>
    </row>
    <row r="43" spans="1:4" ht="11.25">
      <c r="A43" s="105" t="s">
        <v>113</v>
      </c>
      <c r="B43" s="104">
        <v>1</v>
      </c>
      <c r="C43" s="104">
        <v>4</v>
      </c>
      <c r="D43" s="141">
        <v>4</v>
      </c>
    </row>
    <row r="44" spans="1:4" ht="11.25">
      <c r="A44" s="105" t="s">
        <v>114</v>
      </c>
      <c r="B44" s="104">
        <v>24</v>
      </c>
      <c r="C44" s="104">
        <v>75</v>
      </c>
      <c r="D44" s="141">
        <v>3.125</v>
      </c>
    </row>
    <row r="45" spans="1:4" ht="11.25">
      <c r="A45" s="154" t="s">
        <v>115</v>
      </c>
      <c r="B45" s="104">
        <v>127</v>
      </c>
      <c r="C45" s="104">
        <v>438</v>
      </c>
      <c r="D45" s="141">
        <v>3.4488188976377954</v>
      </c>
    </row>
    <row r="46" spans="1:4" ht="11.25">
      <c r="A46" s="100" t="s">
        <v>14</v>
      </c>
      <c r="B46" s="101"/>
      <c r="C46" s="101"/>
      <c r="D46" s="125"/>
    </row>
    <row r="47" spans="1:4" ht="11.25">
      <c r="A47" s="105" t="s">
        <v>114</v>
      </c>
      <c r="B47" s="104">
        <v>1803</v>
      </c>
      <c r="C47" s="104">
        <v>6616</v>
      </c>
      <c r="D47" s="141">
        <v>3.6694398225180254</v>
      </c>
    </row>
    <row r="48" spans="1:4" ht="11.25">
      <c r="A48" s="105" t="s">
        <v>116</v>
      </c>
      <c r="B48" s="104">
        <v>6</v>
      </c>
      <c r="C48" s="104">
        <v>19</v>
      </c>
      <c r="D48" s="141">
        <v>3.1666666666666665</v>
      </c>
    </row>
    <row r="49" spans="1:4" ht="11.25">
      <c r="A49" s="105" t="s">
        <v>117</v>
      </c>
      <c r="B49" s="104">
        <v>27</v>
      </c>
      <c r="C49" s="104">
        <v>100</v>
      </c>
      <c r="D49" s="141">
        <v>3.7037037037037037</v>
      </c>
    </row>
    <row r="50" spans="1:4" ht="11.25">
      <c r="A50" s="105" t="s">
        <v>118</v>
      </c>
      <c r="B50" s="104">
        <v>1</v>
      </c>
      <c r="C50" s="104">
        <v>4</v>
      </c>
      <c r="D50" s="141">
        <v>4</v>
      </c>
    </row>
    <row r="51" spans="1:4" ht="11.25">
      <c r="A51" s="154" t="s">
        <v>119</v>
      </c>
      <c r="B51" s="104"/>
      <c r="C51" s="104"/>
      <c r="D51" s="141"/>
    </row>
    <row r="52" spans="1:4" ht="11.25">
      <c r="A52" s="100" t="s">
        <v>15</v>
      </c>
      <c r="B52" s="155"/>
      <c r="C52" s="155"/>
      <c r="D52" s="156"/>
    </row>
    <row r="53" spans="1:4" ht="11.25">
      <c r="A53" s="105" t="s">
        <v>117</v>
      </c>
      <c r="B53" s="104">
        <v>1362</v>
      </c>
      <c r="C53" s="104">
        <v>5022</v>
      </c>
      <c r="D53" s="141">
        <v>3.6872246696035242</v>
      </c>
    </row>
    <row r="54" spans="1:4" ht="11.25">
      <c r="A54" s="105" t="s">
        <v>120</v>
      </c>
      <c r="B54" s="104">
        <v>395</v>
      </c>
      <c r="C54" s="104">
        <v>1436</v>
      </c>
      <c r="D54" s="141">
        <v>3.6354430379746834</v>
      </c>
    </row>
    <row r="55" spans="1:4" ht="11.25">
      <c r="A55" s="105" t="s">
        <v>121</v>
      </c>
      <c r="B55" s="104">
        <v>14</v>
      </c>
      <c r="C55" s="104">
        <v>48</v>
      </c>
      <c r="D55" s="141">
        <v>3.4285714285714284</v>
      </c>
    </row>
    <row r="56" spans="1:4" ht="11.25">
      <c r="A56" s="113" t="s">
        <v>149</v>
      </c>
      <c r="B56" s="107">
        <v>66</v>
      </c>
      <c r="C56" s="104">
        <v>233</v>
      </c>
      <c r="D56" s="126">
        <v>3.5303030303030303</v>
      </c>
    </row>
    <row r="57" spans="1:4" ht="11.25">
      <c r="A57" s="100" t="s">
        <v>16</v>
      </c>
      <c r="B57" s="101"/>
      <c r="C57" s="101"/>
      <c r="D57" s="125"/>
    </row>
    <row r="58" spans="1:4" ht="11.25">
      <c r="A58" s="105" t="s">
        <v>123</v>
      </c>
      <c r="B58" s="104">
        <v>1755</v>
      </c>
      <c r="C58" s="104">
        <v>6490</v>
      </c>
      <c r="D58" s="126">
        <v>3.698005698005698</v>
      </c>
    </row>
    <row r="59" spans="1:4" ht="11.25">
      <c r="A59" s="105" t="s">
        <v>124</v>
      </c>
      <c r="B59" s="104">
        <v>66</v>
      </c>
      <c r="C59" s="104">
        <v>212</v>
      </c>
      <c r="D59" s="126">
        <v>3.212121212121212</v>
      </c>
    </row>
    <row r="60" spans="1:4" ht="11.25">
      <c r="A60" s="105" t="s">
        <v>125</v>
      </c>
      <c r="B60" s="104">
        <v>16</v>
      </c>
      <c r="C60" s="104">
        <v>37</v>
      </c>
      <c r="D60" s="126">
        <v>2.3125</v>
      </c>
    </row>
    <row r="61" spans="1:4" ht="11.25">
      <c r="A61" s="100" t="s">
        <v>17</v>
      </c>
      <c r="B61" s="160"/>
      <c r="C61" s="101"/>
      <c r="D61" s="125"/>
    </row>
    <row r="62" spans="1:4" ht="11.25">
      <c r="A62" s="102" t="s">
        <v>18</v>
      </c>
      <c r="B62" s="109">
        <v>1803</v>
      </c>
      <c r="C62" s="109">
        <v>6670</v>
      </c>
      <c r="D62" s="140">
        <v>3.699389905712701</v>
      </c>
    </row>
    <row r="63" spans="1:4" ht="11.25">
      <c r="A63" s="102" t="s">
        <v>19</v>
      </c>
      <c r="B63" s="109">
        <v>4</v>
      </c>
      <c r="C63" s="109">
        <v>7</v>
      </c>
      <c r="D63" s="140">
        <v>1.75</v>
      </c>
    </row>
    <row r="64" spans="1:4" ht="11.25">
      <c r="A64" s="102" t="s">
        <v>20</v>
      </c>
      <c r="B64" s="109">
        <v>29</v>
      </c>
      <c r="C64" s="109">
        <v>61</v>
      </c>
      <c r="D64" s="140">
        <v>2.103448275862069</v>
      </c>
    </row>
    <row r="65" spans="1:4" ht="11.25">
      <c r="A65" s="102" t="s">
        <v>21</v>
      </c>
      <c r="B65" s="103">
        <v>1</v>
      </c>
      <c r="C65" s="103">
        <v>1</v>
      </c>
      <c r="D65" s="126">
        <v>1</v>
      </c>
    </row>
    <row r="66" spans="1:4" ht="11.25">
      <c r="A66" s="100" t="s">
        <v>22</v>
      </c>
      <c r="B66" s="101"/>
      <c r="C66" s="101"/>
      <c r="D66" s="125"/>
    </row>
    <row r="67" spans="1:4" ht="11.25">
      <c r="A67" s="102" t="s">
        <v>23</v>
      </c>
      <c r="B67" s="103">
        <v>1699</v>
      </c>
      <c r="C67" s="103">
        <v>6262</v>
      </c>
      <c r="D67" s="126">
        <v>3.68569746909947</v>
      </c>
    </row>
    <row r="68" spans="1:4" ht="11.25">
      <c r="A68" s="102" t="s">
        <v>24</v>
      </c>
      <c r="B68" s="103">
        <v>15</v>
      </c>
      <c r="C68" s="103">
        <v>51</v>
      </c>
      <c r="D68" s="126">
        <v>3.4</v>
      </c>
    </row>
    <row r="69" spans="1:4" ht="11.25">
      <c r="A69" s="102" t="s">
        <v>25</v>
      </c>
      <c r="B69" s="103">
        <v>40</v>
      </c>
      <c r="C69" s="103">
        <v>154</v>
      </c>
      <c r="D69" s="126">
        <v>3.85</v>
      </c>
    </row>
    <row r="70" spans="1:4" ht="11.25">
      <c r="A70" s="110" t="s">
        <v>26</v>
      </c>
      <c r="B70" s="103">
        <v>83</v>
      </c>
      <c r="C70" s="103">
        <v>272</v>
      </c>
      <c r="D70" s="126">
        <v>3.2771084337349397</v>
      </c>
    </row>
    <row r="71" spans="1:4" ht="11.25">
      <c r="A71" s="100" t="s">
        <v>127</v>
      </c>
      <c r="B71" s="160"/>
      <c r="C71" s="101"/>
      <c r="D71" s="130"/>
    </row>
    <row r="72" spans="1:4" ht="11.25">
      <c r="A72" s="102" t="s">
        <v>128</v>
      </c>
      <c r="B72" s="104">
        <v>1803</v>
      </c>
      <c r="C72" s="104">
        <v>6661</v>
      </c>
      <c r="D72" s="141">
        <v>3.694398225180255</v>
      </c>
    </row>
    <row r="73" spans="1:4" ht="11.25">
      <c r="A73" s="102" t="s">
        <v>129</v>
      </c>
      <c r="B73" s="104">
        <v>2</v>
      </c>
      <c r="C73" s="104">
        <v>8</v>
      </c>
      <c r="D73" s="141">
        <v>4</v>
      </c>
    </row>
    <row r="74" spans="1:4" ht="11.25">
      <c r="A74" s="102" t="s">
        <v>130</v>
      </c>
      <c r="B74" s="104">
        <v>2</v>
      </c>
      <c r="C74" s="104">
        <v>8</v>
      </c>
      <c r="D74" s="141">
        <v>4</v>
      </c>
    </row>
    <row r="75" spans="1:4" ht="11.25">
      <c r="A75" s="102" t="s">
        <v>131</v>
      </c>
      <c r="B75" s="104"/>
      <c r="C75" s="104"/>
      <c r="D75" s="141"/>
    </row>
    <row r="76" spans="1:4" ht="11.25">
      <c r="A76" s="105" t="s">
        <v>132</v>
      </c>
      <c r="B76" s="104">
        <v>30</v>
      </c>
      <c r="C76" s="104">
        <v>62</v>
      </c>
      <c r="D76" s="141">
        <v>2.066666666666667</v>
      </c>
    </row>
    <row r="77" spans="1:4" ht="11.25">
      <c r="A77" s="100" t="s">
        <v>28</v>
      </c>
      <c r="B77" s="101"/>
      <c r="C77" s="101"/>
      <c r="D77" s="130"/>
    </row>
    <row r="78" spans="1:4" ht="11.25">
      <c r="A78" s="102" t="s">
        <v>133</v>
      </c>
      <c r="B78" s="104">
        <v>1727</v>
      </c>
      <c r="C78" s="104">
        <v>6332</v>
      </c>
      <c r="D78" s="126">
        <v>3.6664736537348004</v>
      </c>
    </row>
    <row r="79" spans="1:4" ht="11.25">
      <c r="A79" s="102" t="s">
        <v>134</v>
      </c>
      <c r="B79" s="104">
        <v>105</v>
      </c>
      <c r="C79" s="104">
        <v>399</v>
      </c>
      <c r="D79" s="126">
        <v>3.8</v>
      </c>
    </row>
    <row r="80" spans="1:4" ht="11.25">
      <c r="A80" s="102" t="s">
        <v>135</v>
      </c>
      <c r="B80" s="104">
        <v>5</v>
      </c>
      <c r="C80" s="104">
        <v>8</v>
      </c>
      <c r="D80" s="126">
        <v>1.6</v>
      </c>
    </row>
    <row r="81" spans="1:4" ht="11.25">
      <c r="A81" s="100" t="s">
        <v>29</v>
      </c>
      <c r="B81" s="101"/>
      <c r="C81" s="101"/>
      <c r="D81" s="130"/>
    </row>
    <row r="82" spans="1:4" ht="11.25">
      <c r="A82" s="102" t="s">
        <v>128</v>
      </c>
      <c r="B82" s="104">
        <v>1723</v>
      </c>
      <c r="C82" s="104">
        <v>6303</v>
      </c>
      <c r="D82" s="126">
        <v>3.658154381892049</v>
      </c>
    </row>
    <row r="83" spans="1:4" ht="11.25">
      <c r="A83" s="102" t="s">
        <v>136</v>
      </c>
      <c r="B83" s="104">
        <v>114</v>
      </c>
      <c r="C83" s="104">
        <v>436</v>
      </c>
      <c r="D83" s="126">
        <v>3.824561403508772</v>
      </c>
    </row>
    <row r="84" spans="1:4" ht="11.25">
      <c r="A84" s="100" t="s">
        <v>30</v>
      </c>
      <c r="B84" s="160"/>
      <c r="C84" s="101"/>
      <c r="D84" s="125"/>
    </row>
    <row r="85" spans="1:4" ht="11.25">
      <c r="A85" s="113" t="s">
        <v>137</v>
      </c>
      <c r="B85" s="104">
        <v>19</v>
      </c>
      <c r="C85" s="104">
        <v>52</v>
      </c>
      <c r="D85" s="126">
        <v>2.736842105263158</v>
      </c>
    </row>
    <row r="86" spans="1:4" ht="11.25">
      <c r="A86" s="102" t="s">
        <v>138</v>
      </c>
      <c r="B86" s="104">
        <v>1779</v>
      </c>
      <c r="C86" s="104">
        <v>6568</v>
      </c>
      <c r="D86" s="126">
        <v>3.6919617762788084</v>
      </c>
    </row>
    <row r="87" spans="1:4" ht="11.25">
      <c r="A87" s="102" t="s">
        <v>139</v>
      </c>
      <c r="B87" s="104">
        <v>39</v>
      </c>
      <c r="C87" s="104">
        <v>119</v>
      </c>
      <c r="D87" s="126">
        <v>3.051282051282051</v>
      </c>
    </row>
    <row r="88" spans="1:4" ht="11.25">
      <c r="A88" s="100" t="s">
        <v>43</v>
      </c>
      <c r="B88" s="101"/>
      <c r="C88" s="101"/>
      <c r="D88" s="131"/>
    </row>
    <row r="89" spans="1:4" ht="11.25">
      <c r="A89" s="102" t="s">
        <v>31</v>
      </c>
      <c r="B89" s="111">
        <v>0.933</v>
      </c>
      <c r="C89" s="112">
        <v>6313</v>
      </c>
      <c r="D89" s="126">
        <v>3.7</v>
      </c>
    </row>
    <row r="90" spans="1:4" ht="11.25">
      <c r="A90" s="102" t="s">
        <v>140</v>
      </c>
      <c r="B90" s="111">
        <v>0.947</v>
      </c>
      <c r="C90" s="112">
        <v>6416</v>
      </c>
      <c r="D90" s="144">
        <v>3.7</v>
      </c>
    </row>
    <row r="91" spans="1:4" ht="11.25">
      <c r="A91" s="113" t="s">
        <v>33</v>
      </c>
      <c r="B91" s="115">
        <v>0.017</v>
      </c>
      <c r="C91" s="116">
        <v>94</v>
      </c>
      <c r="D91" s="145">
        <v>2.9</v>
      </c>
    </row>
    <row r="92" spans="1:4" ht="11.25">
      <c r="A92" s="102" t="s">
        <v>34</v>
      </c>
      <c r="B92" s="115">
        <v>0.624</v>
      </c>
      <c r="C92" s="146">
        <v>4261</v>
      </c>
      <c r="D92" s="162">
        <v>3.7149084568439408</v>
      </c>
    </row>
    <row r="93" spans="1:4" ht="11.25">
      <c r="A93" s="102" t="s">
        <v>35</v>
      </c>
      <c r="B93" s="115">
        <v>0.059</v>
      </c>
      <c r="C93" s="146">
        <v>344</v>
      </c>
      <c r="D93" s="145">
        <v>3.2</v>
      </c>
    </row>
    <row r="94" spans="1:4" ht="11.25">
      <c r="A94" s="102" t="s">
        <v>36</v>
      </c>
      <c r="B94" s="115">
        <v>0.895</v>
      </c>
      <c r="C94" s="146">
        <v>6246</v>
      </c>
      <c r="D94" s="163">
        <v>3.7992700729927007</v>
      </c>
    </row>
    <row r="95" spans="1:4" ht="11.25">
      <c r="A95" s="102" t="s">
        <v>37</v>
      </c>
      <c r="B95" s="115">
        <v>0.8673</v>
      </c>
      <c r="C95" s="146">
        <v>6033</v>
      </c>
      <c r="D95" s="145">
        <v>3.8</v>
      </c>
    </row>
    <row r="96" spans="1:4" ht="11.25">
      <c r="A96" s="102" t="s">
        <v>38</v>
      </c>
      <c r="B96" s="115">
        <v>0.346</v>
      </c>
      <c r="C96" s="107">
        <v>2461</v>
      </c>
      <c r="D96" s="141">
        <v>3.869496855345912</v>
      </c>
    </row>
    <row r="97" spans="1:4" ht="11.25">
      <c r="A97" s="102" t="s">
        <v>142</v>
      </c>
      <c r="B97" s="115">
        <v>0.201</v>
      </c>
      <c r="C97" s="107">
        <v>1346</v>
      </c>
      <c r="D97" s="141">
        <v>3.637837837837838</v>
      </c>
    </row>
    <row r="98" spans="1:4" ht="11.25">
      <c r="A98" s="102" t="s">
        <v>143</v>
      </c>
      <c r="B98" s="115">
        <v>0.84</v>
      </c>
      <c r="C98" s="146">
        <v>5837</v>
      </c>
      <c r="D98" s="141">
        <v>3.782890473104342</v>
      </c>
    </row>
    <row r="99" spans="1:4" ht="11.25">
      <c r="A99" s="102" t="s">
        <v>41</v>
      </c>
      <c r="B99" s="115">
        <v>0.535</v>
      </c>
      <c r="C99" s="146">
        <v>3765</v>
      </c>
      <c r="D99" s="141">
        <v>3.8340122199592668</v>
      </c>
    </row>
    <row r="100" spans="1:4" ht="11.25">
      <c r="A100" s="102" t="s">
        <v>42</v>
      </c>
      <c r="B100" s="115">
        <v>0.747</v>
      </c>
      <c r="C100" s="107">
        <v>5375</v>
      </c>
      <c r="D100" s="141">
        <v>3.9147851420247632</v>
      </c>
    </row>
    <row r="101" spans="1:4" ht="11.25">
      <c r="A101" s="100" t="s">
        <v>2</v>
      </c>
      <c r="B101" s="117"/>
      <c r="C101" s="101"/>
      <c r="D101" s="125"/>
    </row>
    <row r="102" spans="1:4" ht="11.25">
      <c r="A102" s="102" t="s">
        <v>62</v>
      </c>
      <c r="B102" s="164">
        <v>0.40772999455634185</v>
      </c>
      <c r="C102" s="104">
        <v>2424</v>
      </c>
      <c r="D102" s="147">
        <v>3.2997071265863975</v>
      </c>
    </row>
    <row r="103" spans="1:4" ht="11.25">
      <c r="A103" s="102" t="s">
        <v>59</v>
      </c>
      <c r="B103" s="164">
        <v>0.457267283614589</v>
      </c>
      <c r="C103" s="104">
        <v>3291</v>
      </c>
      <c r="D103" s="147">
        <v>3.6073632687805914</v>
      </c>
    </row>
    <row r="104" spans="1:4" ht="11.25">
      <c r="A104" s="102" t="s">
        <v>60</v>
      </c>
      <c r="B104" s="164">
        <v>0.11213935764833968</v>
      </c>
      <c r="C104" s="104">
        <v>853</v>
      </c>
      <c r="D104" s="147">
        <v>3.9531568228105907</v>
      </c>
    </row>
    <row r="105" spans="1:4" ht="11.25">
      <c r="A105" s="113" t="s">
        <v>61</v>
      </c>
      <c r="B105" s="164">
        <v>0.02286336418072945</v>
      </c>
      <c r="C105" s="104">
        <v>171</v>
      </c>
      <c r="D105" s="147">
        <v>4.764525993883792</v>
      </c>
    </row>
    <row r="106" spans="1:4" ht="11.25">
      <c r="A106" s="100" t="s">
        <v>1</v>
      </c>
      <c r="B106" s="117"/>
      <c r="C106" s="101"/>
      <c r="D106" s="125"/>
    </row>
    <row r="107" spans="1:4" ht="11.25">
      <c r="A107" s="102" t="s">
        <v>63</v>
      </c>
      <c r="B107" s="111">
        <v>0.773543821448013</v>
      </c>
      <c r="C107" s="104">
        <v>5003</v>
      </c>
      <c r="D107" s="147">
        <v>3.5207600281491906</v>
      </c>
    </row>
    <row r="108" spans="1:4" ht="11.25">
      <c r="A108" s="102" t="s">
        <v>64</v>
      </c>
      <c r="B108" s="111">
        <v>0.18454001088731628</v>
      </c>
      <c r="C108" s="104">
        <v>1379</v>
      </c>
      <c r="D108" s="147">
        <v>4.067846607669616</v>
      </c>
    </row>
    <row r="109" spans="1:4" ht="11.25">
      <c r="A109" s="102" t="s">
        <v>65</v>
      </c>
      <c r="B109" s="111">
        <v>0.03647250952640174</v>
      </c>
      <c r="C109" s="104">
        <v>305</v>
      </c>
      <c r="D109" s="147">
        <v>4.552238805970149</v>
      </c>
    </row>
    <row r="110" spans="1:4" ht="11.25">
      <c r="A110" s="102" t="s">
        <v>66</v>
      </c>
      <c r="B110" s="111">
        <v>0.005443658138268917</v>
      </c>
      <c r="C110" s="165">
        <v>52</v>
      </c>
      <c r="D110" s="166">
        <v>5.2</v>
      </c>
    </row>
    <row r="111" spans="1:4" ht="11.25">
      <c r="A111" s="100" t="s">
        <v>67</v>
      </c>
      <c r="B111" s="101"/>
      <c r="C111" s="101"/>
      <c r="D111" s="125"/>
    </row>
    <row r="112" spans="1:4" ht="11.25">
      <c r="A112" s="102" t="s">
        <v>68</v>
      </c>
      <c r="B112" s="111">
        <v>0.819270549809472</v>
      </c>
      <c r="C112" s="104">
        <v>5407</v>
      </c>
      <c r="D112" s="147">
        <v>3.5926910299003323</v>
      </c>
    </row>
    <row r="113" spans="1:4" ht="11.25">
      <c r="A113" s="102" t="s">
        <v>69</v>
      </c>
      <c r="B113" s="111">
        <v>0.15568862275449102</v>
      </c>
      <c r="C113" s="104">
        <v>1156</v>
      </c>
      <c r="D113" s="147">
        <v>4.041958041958042</v>
      </c>
    </row>
    <row r="114" spans="1:4" ht="11.25">
      <c r="A114" s="102" t="s">
        <v>70</v>
      </c>
      <c r="B114" s="111">
        <v>0.014697876973326075</v>
      </c>
      <c r="C114" s="104">
        <v>101</v>
      </c>
      <c r="D114" s="147">
        <v>3.740740740740741</v>
      </c>
    </row>
    <row r="115" spans="1:4" ht="11.25">
      <c r="A115" s="102" t="s">
        <v>71</v>
      </c>
      <c r="B115" s="111">
        <v>0.010342950462710943</v>
      </c>
      <c r="C115" s="165">
        <v>75</v>
      </c>
      <c r="D115" s="147">
        <v>3.9473684210526314</v>
      </c>
    </row>
    <row r="116" spans="1:4" ht="11.25">
      <c r="A116" s="100" t="s">
        <v>72</v>
      </c>
      <c r="B116" s="117"/>
      <c r="C116" s="101"/>
      <c r="D116" s="167"/>
    </row>
    <row r="117" spans="1:4" ht="11.25">
      <c r="A117" s="102" t="s">
        <v>73</v>
      </c>
      <c r="B117" s="111">
        <v>0.8688078388677191</v>
      </c>
      <c r="C117" s="104">
        <v>5729</v>
      </c>
      <c r="D117" s="141">
        <v>3.5895989974937343</v>
      </c>
    </row>
    <row r="118" spans="1:4" ht="11.25">
      <c r="A118" s="102" t="s">
        <v>74</v>
      </c>
      <c r="B118" s="111">
        <v>0.10125204137180185</v>
      </c>
      <c r="C118" s="104">
        <v>776</v>
      </c>
      <c r="D118" s="141">
        <v>4.172043010752688</v>
      </c>
    </row>
    <row r="119" spans="1:4" ht="11.25">
      <c r="A119" s="102" t="s">
        <v>75</v>
      </c>
      <c r="B119" s="111">
        <v>0.0130647795318454</v>
      </c>
      <c r="C119" s="104">
        <v>99</v>
      </c>
      <c r="D119" s="141">
        <v>4.125</v>
      </c>
    </row>
    <row r="120" spans="1:4" ht="11.25">
      <c r="A120" s="134" t="s">
        <v>76</v>
      </c>
      <c r="B120" s="135">
        <v>0.016875340228633642</v>
      </c>
      <c r="C120" s="150">
        <v>135</v>
      </c>
      <c r="D120" s="151">
        <v>4.354838709677419</v>
      </c>
    </row>
    <row r="121" spans="1:4" ht="11.25">
      <c r="A121" s="120"/>
      <c r="B121" s="120"/>
      <c r="C121" s="120"/>
      <c r="D121" s="120"/>
    </row>
    <row r="122" spans="1:4" ht="11.25">
      <c r="A122" s="120"/>
      <c r="B122" s="120"/>
      <c r="C122" s="120"/>
      <c r="D122" s="41" t="s">
        <v>49</v>
      </c>
    </row>
    <row r="123" spans="1:4" ht="11.25">
      <c r="A123" s="120"/>
      <c r="B123" s="120"/>
      <c r="C123" s="120"/>
      <c r="D123" s="12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1.00390625" style="35" customWidth="1"/>
    <col min="2" max="3" width="11.421875" style="35" customWidth="1"/>
    <col min="4" max="4" width="16.421875" style="35" customWidth="1"/>
    <col min="5" max="16384" width="11.421875" style="35" customWidth="1"/>
  </cols>
  <sheetData>
    <row r="1" spans="1:4" ht="11.25">
      <c r="A1" s="121"/>
      <c r="B1" s="121"/>
      <c r="C1" s="121"/>
      <c r="D1" s="121"/>
    </row>
    <row r="2" spans="1:4" ht="41.25" customHeight="1">
      <c r="A2" s="224" t="s">
        <v>150</v>
      </c>
      <c r="B2" s="224"/>
      <c r="C2" s="224"/>
      <c r="D2" s="224"/>
    </row>
    <row r="3" spans="1:4" ht="22.5">
      <c r="A3" s="122" t="s">
        <v>78</v>
      </c>
      <c r="B3" s="123" t="s">
        <v>79</v>
      </c>
      <c r="C3" s="123" t="s">
        <v>80</v>
      </c>
      <c r="D3" s="124" t="s">
        <v>9</v>
      </c>
    </row>
    <row r="4" spans="1:4" ht="11.25">
      <c r="A4" s="122"/>
      <c r="B4" s="123"/>
      <c r="C4" s="123"/>
      <c r="D4" s="124"/>
    </row>
    <row r="5" spans="1:4" ht="11.25">
      <c r="A5" s="122"/>
      <c r="B5" s="123"/>
      <c r="C5" s="123"/>
      <c r="D5" s="124"/>
    </row>
    <row r="6" spans="1:4" ht="11.25">
      <c r="A6" s="100" t="s">
        <v>81</v>
      </c>
      <c r="B6" s="101">
        <v>4681</v>
      </c>
      <c r="C6" s="101">
        <v>16398</v>
      </c>
      <c r="D6" s="125">
        <v>3.5030976287118136</v>
      </c>
    </row>
    <row r="7" spans="1:4" ht="11.25">
      <c r="A7" s="102"/>
      <c r="B7" s="103"/>
      <c r="C7" s="103"/>
      <c r="D7" s="126"/>
    </row>
    <row r="8" spans="1:4" ht="11.25">
      <c r="A8" s="100" t="s">
        <v>82</v>
      </c>
      <c r="B8" s="101"/>
      <c r="C8" s="101"/>
      <c r="D8" s="125"/>
    </row>
    <row r="9" spans="1:4" ht="11.25">
      <c r="A9" s="102" t="s">
        <v>83</v>
      </c>
      <c r="B9" s="104">
        <v>844</v>
      </c>
      <c r="C9" s="104">
        <v>844</v>
      </c>
      <c r="D9" s="126">
        <v>1</v>
      </c>
    </row>
    <row r="10" spans="1:4" ht="11.25">
      <c r="A10" s="102" t="s">
        <v>84</v>
      </c>
      <c r="B10" s="104">
        <v>953</v>
      </c>
      <c r="C10" s="104">
        <v>1906</v>
      </c>
      <c r="D10" s="126">
        <v>2</v>
      </c>
    </row>
    <row r="11" spans="1:4" ht="11.25">
      <c r="A11" s="102" t="s">
        <v>85</v>
      </c>
      <c r="B11" s="104">
        <v>910</v>
      </c>
      <c r="C11" s="104">
        <v>2730</v>
      </c>
      <c r="D11" s="126">
        <v>3</v>
      </c>
    </row>
    <row r="12" spans="1:4" ht="11.25">
      <c r="A12" s="102" t="s">
        <v>86</v>
      </c>
      <c r="B12" s="104">
        <v>748</v>
      </c>
      <c r="C12" s="104">
        <v>2992</v>
      </c>
      <c r="D12" s="126">
        <v>4</v>
      </c>
    </row>
    <row r="13" spans="1:4" ht="11.25">
      <c r="A13" s="102" t="s">
        <v>87</v>
      </c>
      <c r="B13" s="104">
        <v>473</v>
      </c>
      <c r="C13" s="104">
        <v>2365</v>
      </c>
      <c r="D13" s="126">
        <v>5</v>
      </c>
    </row>
    <row r="14" spans="1:4" ht="11.25">
      <c r="A14" s="102" t="s">
        <v>88</v>
      </c>
      <c r="B14" s="104">
        <v>328</v>
      </c>
      <c r="C14" s="104">
        <v>1968</v>
      </c>
      <c r="D14" s="126">
        <v>6</v>
      </c>
    </row>
    <row r="15" spans="1:4" ht="11.25">
      <c r="A15" s="102" t="s">
        <v>89</v>
      </c>
      <c r="B15" s="104">
        <v>185</v>
      </c>
      <c r="C15" s="104">
        <v>1295</v>
      </c>
      <c r="D15" s="126">
        <v>7</v>
      </c>
    </row>
    <row r="16" spans="1:4" ht="11.25">
      <c r="A16" s="102" t="s">
        <v>90</v>
      </c>
      <c r="B16" s="104">
        <v>240</v>
      </c>
      <c r="C16" s="104">
        <v>2298</v>
      </c>
      <c r="D16" s="126">
        <v>9.575</v>
      </c>
    </row>
    <row r="17" spans="1:4" ht="11.25">
      <c r="A17" s="100" t="s">
        <v>10</v>
      </c>
      <c r="B17" s="160"/>
      <c r="C17" s="101"/>
      <c r="D17" s="125"/>
    </row>
    <row r="18" spans="1:4" ht="11.25">
      <c r="A18" s="105" t="s">
        <v>145</v>
      </c>
      <c r="B18" s="104">
        <v>3752</v>
      </c>
      <c r="C18" s="104">
        <v>13081</v>
      </c>
      <c r="D18" s="126">
        <v>3.486407249466951</v>
      </c>
    </row>
    <row r="19" spans="1:4" ht="11.25">
      <c r="A19" s="106" t="s">
        <v>92</v>
      </c>
      <c r="B19" s="104">
        <v>731</v>
      </c>
      <c r="C19" s="104">
        <v>2788</v>
      </c>
      <c r="D19" s="126">
        <v>3.813953488372093</v>
      </c>
    </row>
    <row r="20" spans="1:4" ht="11.25">
      <c r="A20" s="106" t="s">
        <v>93</v>
      </c>
      <c r="B20" s="104">
        <v>38</v>
      </c>
      <c r="C20" s="104">
        <v>80</v>
      </c>
      <c r="D20" s="126">
        <v>2.1052631578947367</v>
      </c>
    </row>
    <row r="21" spans="1:4" ht="11.25">
      <c r="A21" s="106" t="s">
        <v>95</v>
      </c>
      <c r="B21" s="104">
        <v>57</v>
      </c>
      <c r="C21" s="104">
        <v>189</v>
      </c>
      <c r="D21" s="126">
        <v>3.3157894736842106</v>
      </c>
    </row>
    <row r="22" spans="1:4" ht="11.25">
      <c r="A22" s="106" t="s">
        <v>94</v>
      </c>
      <c r="B22" s="107">
        <v>19</v>
      </c>
      <c r="C22" s="107">
        <v>57</v>
      </c>
      <c r="D22" s="126">
        <v>3</v>
      </c>
    </row>
    <row r="23" spans="1:4" ht="11.25">
      <c r="A23" s="106" t="s">
        <v>96</v>
      </c>
      <c r="B23" s="104">
        <v>29</v>
      </c>
      <c r="C23" s="104">
        <v>53</v>
      </c>
      <c r="D23" s="126">
        <v>1.8275862068965518</v>
      </c>
    </row>
    <row r="24" spans="1:4" ht="11.25">
      <c r="A24" s="105" t="s">
        <v>97</v>
      </c>
      <c r="B24" s="104">
        <v>38</v>
      </c>
      <c r="C24" s="104">
        <v>100</v>
      </c>
      <c r="D24" s="126">
        <v>2.6315789473684212</v>
      </c>
    </row>
    <row r="25" spans="1:4" ht="11.25">
      <c r="A25" s="105" t="s">
        <v>98</v>
      </c>
      <c r="B25" s="104"/>
      <c r="C25" s="104"/>
      <c r="D25" s="126"/>
    </row>
    <row r="26" spans="1:4" ht="11.25">
      <c r="A26" s="105" t="s">
        <v>99</v>
      </c>
      <c r="B26" s="104">
        <v>17</v>
      </c>
      <c r="C26" s="104">
        <v>50</v>
      </c>
      <c r="D26" s="126">
        <v>2.9411764705882355</v>
      </c>
    </row>
    <row r="27" spans="1:4" ht="11.25">
      <c r="A27" s="100" t="s">
        <v>11</v>
      </c>
      <c r="B27" s="101"/>
      <c r="C27" s="101"/>
      <c r="D27" s="125"/>
    </row>
    <row r="28" spans="1:4" ht="11.25">
      <c r="A28" s="102" t="s">
        <v>100</v>
      </c>
      <c r="B28" s="104">
        <v>617</v>
      </c>
      <c r="C28" s="104">
        <v>1545</v>
      </c>
      <c r="D28" s="141">
        <v>2.5040518638573745</v>
      </c>
    </row>
    <row r="29" spans="1:4" ht="11.25">
      <c r="A29" s="102" t="s">
        <v>101</v>
      </c>
      <c r="B29" s="104">
        <v>978</v>
      </c>
      <c r="C29" s="104">
        <v>2929</v>
      </c>
      <c r="D29" s="141">
        <v>2.994887525562372</v>
      </c>
    </row>
    <row r="30" spans="1:4" ht="11.25">
      <c r="A30" s="102" t="s">
        <v>102</v>
      </c>
      <c r="B30" s="104">
        <v>1767</v>
      </c>
      <c r="C30" s="104">
        <v>6229</v>
      </c>
      <c r="D30" s="141">
        <v>3.5251839275608376</v>
      </c>
    </row>
    <row r="31" spans="1:4" ht="11.25">
      <c r="A31" s="102" t="s">
        <v>103</v>
      </c>
      <c r="B31" s="104">
        <v>930</v>
      </c>
      <c r="C31" s="104">
        <v>3802</v>
      </c>
      <c r="D31" s="141">
        <v>4.088172043010752</v>
      </c>
    </row>
    <row r="32" spans="1:4" ht="11.25">
      <c r="A32" s="102" t="s">
        <v>104</v>
      </c>
      <c r="B32" s="104">
        <v>280</v>
      </c>
      <c r="C32" s="104">
        <v>1323</v>
      </c>
      <c r="D32" s="141">
        <v>4.725</v>
      </c>
    </row>
    <row r="33" spans="1:4" ht="11.25">
      <c r="A33" s="102" t="s">
        <v>105</v>
      </c>
      <c r="B33" s="104">
        <v>109</v>
      </c>
      <c r="C33" s="104">
        <v>570</v>
      </c>
      <c r="D33" s="141">
        <v>5.229357798165138</v>
      </c>
    </row>
    <row r="34" spans="1:4" ht="11.25">
      <c r="A34" s="100" t="s">
        <v>12</v>
      </c>
      <c r="B34" s="160"/>
      <c r="C34" s="101"/>
      <c r="D34" s="125"/>
    </row>
    <row r="35" spans="1:4" ht="11.25">
      <c r="A35" s="105" t="s">
        <v>106</v>
      </c>
      <c r="B35" s="104">
        <v>1607</v>
      </c>
      <c r="C35" s="104">
        <v>5822</v>
      </c>
      <c r="D35" s="141">
        <v>3.622899813316739</v>
      </c>
    </row>
    <row r="36" spans="1:4" ht="11.25">
      <c r="A36" s="105" t="s">
        <v>107</v>
      </c>
      <c r="B36" s="104">
        <v>646</v>
      </c>
      <c r="C36" s="104">
        <v>2260</v>
      </c>
      <c r="D36" s="141">
        <v>3.498452012383901</v>
      </c>
    </row>
    <row r="37" spans="1:4" ht="11.25">
      <c r="A37" s="105" t="s">
        <v>108</v>
      </c>
      <c r="B37" s="104">
        <v>839</v>
      </c>
      <c r="C37" s="104">
        <v>2940</v>
      </c>
      <c r="D37" s="141">
        <v>3.504171632896305</v>
      </c>
    </row>
    <row r="38" spans="1:4" ht="11.25">
      <c r="A38" s="105" t="s">
        <v>109</v>
      </c>
      <c r="B38" s="104">
        <v>880</v>
      </c>
      <c r="C38" s="104">
        <v>3126</v>
      </c>
      <c r="D38" s="141">
        <v>3.5522727272727272</v>
      </c>
    </row>
    <row r="39" spans="1:4" ht="11.25">
      <c r="A39" s="105" t="s">
        <v>110</v>
      </c>
      <c r="B39" s="104">
        <v>709</v>
      </c>
      <c r="C39" s="104">
        <v>2250</v>
      </c>
      <c r="D39" s="141">
        <v>3.173483779971791</v>
      </c>
    </row>
    <row r="40" spans="1:4" ht="11.25">
      <c r="A40" s="100" t="s">
        <v>13</v>
      </c>
      <c r="B40" s="101"/>
      <c r="C40" s="101"/>
      <c r="D40" s="125"/>
    </row>
    <row r="41" spans="1:4" ht="11.25">
      <c r="A41" s="105" t="s">
        <v>111</v>
      </c>
      <c r="B41" s="104">
        <v>1111</v>
      </c>
      <c r="C41" s="104">
        <v>4013</v>
      </c>
      <c r="D41" s="141">
        <v>3.612061206120612</v>
      </c>
    </row>
    <row r="42" spans="1:4" ht="11.25">
      <c r="A42" s="105" t="s">
        <v>112</v>
      </c>
      <c r="B42" s="104">
        <v>3442</v>
      </c>
      <c r="C42" s="104">
        <v>12041</v>
      </c>
      <c r="D42" s="141">
        <v>3.4982568274259154</v>
      </c>
    </row>
    <row r="43" spans="1:4" ht="11.25">
      <c r="A43" s="105" t="s">
        <v>113</v>
      </c>
      <c r="B43" s="104">
        <v>42</v>
      </c>
      <c r="C43" s="104">
        <v>91</v>
      </c>
      <c r="D43" s="141">
        <v>2.1666666666666665</v>
      </c>
    </row>
    <row r="44" spans="1:4" ht="11.25">
      <c r="A44" s="105" t="s">
        <v>114</v>
      </c>
      <c r="B44" s="104">
        <v>51</v>
      </c>
      <c r="C44" s="104">
        <v>134</v>
      </c>
      <c r="D44" s="141">
        <v>2.627450980392157</v>
      </c>
    </row>
    <row r="45" spans="1:4" ht="11.25">
      <c r="A45" s="154" t="s">
        <v>115</v>
      </c>
      <c r="B45" s="104">
        <v>35</v>
      </c>
      <c r="C45" s="104">
        <v>119</v>
      </c>
      <c r="D45" s="141">
        <v>3.4</v>
      </c>
    </row>
    <row r="46" spans="1:4" ht="11.25">
      <c r="A46" s="100" t="s">
        <v>14</v>
      </c>
      <c r="B46" s="168"/>
      <c r="C46" s="168"/>
      <c r="D46" s="125"/>
    </row>
    <row r="47" spans="1:4" ht="11.25">
      <c r="A47" s="105" t="s">
        <v>114</v>
      </c>
      <c r="B47" s="104">
        <v>4603</v>
      </c>
      <c r="C47" s="104">
        <v>16216</v>
      </c>
      <c r="D47" s="141">
        <v>3.522919834890289</v>
      </c>
    </row>
    <row r="48" spans="1:4" ht="11.25">
      <c r="A48" s="105" t="s">
        <v>116</v>
      </c>
      <c r="B48" s="104">
        <v>17</v>
      </c>
      <c r="C48" s="104">
        <v>49</v>
      </c>
      <c r="D48" s="141">
        <v>2.8823529411764706</v>
      </c>
    </row>
    <row r="49" spans="1:4" ht="11.25">
      <c r="A49" s="105" t="s">
        <v>117</v>
      </c>
      <c r="B49" s="104">
        <v>17</v>
      </c>
      <c r="C49" s="104">
        <v>60</v>
      </c>
      <c r="D49" s="141">
        <v>3.5294117647058822</v>
      </c>
    </row>
    <row r="50" spans="1:4" ht="11.25">
      <c r="A50" s="105" t="s">
        <v>118</v>
      </c>
      <c r="B50" s="104">
        <v>31</v>
      </c>
      <c r="C50" s="104">
        <v>48</v>
      </c>
      <c r="D50" s="141">
        <v>1.5483870967741935</v>
      </c>
    </row>
    <row r="51" spans="1:4" ht="11.25">
      <c r="A51" s="154" t="s">
        <v>119</v>
      </c>
      <c r="B51" s="104">
        <v>13</v>
      </c>
      <c r="C51" s="104">
        <v>25</v>
      </c>
      <c r="D51" s="141">
        <v>1.9230769230769231</v>
      </c>
    </row>
    <row r="52" spans="1:4" ht="11.25">
      <c r="A52" s="100" t="s">
        <v>15</v>
      </c>
      <c r="B52" s="155"/>
      <c r="C52" s="155"/>
      <c r="D52" s="156"/>
    </row>
    <row r="53" spans="1:4" ht="11.25">
      <c r="A53" s="105" t="s">
        <v>117</v>
      </c>
      <c r="B53" s="104">
        <v>3620</v>
      </c>
      <c r="C53" s="104">
        <v>12946</v>
      </c>
      <c r="D53" s="141">
        <v>3.5762430939226517</v>
      </c>
    </row>
    <row r="54" spans="1:4" ht="11.25">
      <c r="A54" s="105" t="s">
        <v>120</v>
      </c>
      <c r="B54" s="104">
        <v>929</v>
      </c>
      <c r="C54" s="104">
        <v>3085</v>
      </c>
      <c r="D54" s="141">
        <v>3.3207750269106566</v>
      </c>
    </row>
    <row r="55" spans="1:4" ht="11.25">
      <c r="A55" s="105" t="s">
        <v>121</v>
      </c>
      <c r="B55" s="104">
        <v>101</v>
      </c>
      <c r="C55" s="104">
        <v>254</v>
      </c>
      <c r="D55" s="141">
        <v>2.514851485148515</v>
      </c>
    </row>
    <row r="56" spans="1:4" ht="11.25">
      <c r="A56" s="113" t="s">
        <v>151</v>
      </c>
      <c r="B56" s="104">
        <v>31</v>
      </c>
      <c r="C56" s="104">
        <v>113</v>
      </c>
      <c r="D56" s="126">
        <v>3.6451612903225805</v>
      </c>
    </row>
    <row r="57" spans="1:4" ht="11.25">
      <c r="A57" s="100" t="s">
        <v>16</v>
      </c>
      <c r="B57" s="101"/>
      <c r="C57" s="101"/>
      <c r="D57" s="125"/>
    </row>
    <row r="58" spans="1:4" ht="11.25">
      <c r="A58" s="105" t="s">
        <v>123</v>
      </c>
      <c r="B58" s="104">
        <v>4149</v>
      </c>
      <c r="C58" s="104">
        <v>14617</v>
      </c>
      <c r="D58" s="126">
        <v>3.5230175946011086</v>
      </c>
    </row>
    <row r="59" spans="1:4" ht="11.25">
      <c r="A59" s="105" t="s">
        <v>124</v>
      </c>
      <c r="B59" s="104">
        <v>415</v>
      </c>
      <c r="C59" s="104">
        <v>1521</v>
      </c>
      <c r="D59" s="126">
        <v>3.6650602409638555</v>
      </c>
    </row>
    <row r="60" spans="1:4" ht="11.25">
      <c r="A60" s="105" t="s">
        <v>125</v>
      </c>
      <c r="B60" s="104">
        <v>117</v>
      </c>
      <c r="C60" s="104">
        <v>260</v>
      </c>
      <c r="D60" s="126">
        <v>2.2222222222222223</v>
      </c>
    </row>
    <row r="61" spans="1:4" ht="11.25">
      <c r="A61" s="100" t="s">
        <v>17</v>
      </c>
      <c r="B61" s="160"/>
      <c r="C61" s="101"/>
      <c r="D61" s="125"/>
    </row>
    <row r="62" spans="1:4" ht="11.25">
      <c r="A62" s="102" t="s">
        <v>18</v>
      </c>
      <c r="B62" s="109">
        <v>4454</v>
      </c>
      <c r="C62" s="109">
        <v>15820</v>
      </c>
      <c r="D62" s="140">
        <v>3.5518634934889985</v>
      </c>
    </row>
    <row r="63" spans="1:4" ht="11.25">
      <c r="A63" s="102" t="s">
        <v>19</v>
      </c>
      <c r="B63" s="109">
        <v>69</v>
      </c>
      <c r="C63" s="109">
        <v>187</v>
      </c>
      <c r="D63" s="140">
        <v>2.710144927536232</v>
      </c>
    </row>
    <row r="64" spans="1:4" ht="11.25">
      <c r="A64" s="102" t="s">
        <v>20</v>
      </c>
      <c r="B64" s="109">
        <v>138</v>
      </c>
      <c r="C64" s="109">
        <v>337</v>
      </c>
      <c r="D64" s="140">
        <v>2.4420289855072466</v>
      </c>
    </row>
    <row r="65" spans="1:4" ht="11.25">
      <c r="A65" s="102" t="s">
        <v>21</v>
      </c>
      <c r="B65" s="103">
        <v>20</v>
      </c>
      <c r="C65" s="103">
        <v>54</v>
      </c>
      <c r="D65" s="126">
        <v>2.7</v>
      </c>
    </row>
    <row r="66" spans="1:4" ht="11.25">
      <c r="A66" s="100" t="s">
        <v>22</v>
      </c>
      <c r="B66" s="101"/>
      <c r="C66" s="101"/>
      <c r="D66" s="125"/>
    </row>
    <row r="67" spans="1:4" ht="11.25">
      <c r="A67" s="102" t="s">
        <v>23</v>
      </c>
      <c r="B67" s="103">
        <v>3214</v>
      </c>
      <c r="C67" s="103">
        <v>11326</v>
      </c>
      <c r="D67" s="126">
        <v>3.523957685127567</v>
      </c>
    </row>
    <row r="68" spans="1:4" ht="11.25">
      <c r="A68" s="102" t="s">
        <v>24</v>
      </c>
      <c r="B68" s="103">
        <v>70</v>
      </c>
      <c r="C68" s="103">
        <v>250</v>
      </c>
      <c r="D68" s="126">
        <v>3.5714285714285716</v>
      </c>
    </row>
    <row r="69" spans="1:4" ht="11.25">
      <c r="A69" s="102" t="s">
        <v>25</v>
      </c>
      <c r="B69" s="103">
        <v>225</v>
      </c>
      <c r="C69" s="103">
        <v>814</v>
      </c>
      <c r="D69" s="126">
        <v>3.617777777777778</v>
      </c>
    </row>
    <row r="70" spans="1:4" ht="11.25">
      <c r="A70" s="110" t="s">
        <v>26</v>
      </c>
      <c r="B70" s="103">
        <v>1172</v>
      </c>
      <c r="C70" s="103">
        <v>4008</v>
      </c>
      <c r="D70" s="126">
        <v>3.419795221843003</v>
      </c>
    </row>
    <row r="71" spans="1:4" ht="11.25">
      <c r="A71" s="100" t="s">
        <v>127</v>
      </c>
      <c r="B71" s="160"/>
      <c r="C71" s="101"/>
      <c r="D71" s="130"/>
    </row>
    <row r="72" spans="1:4" ht="11.25">
      <c r="A72" s="102" t="s">
        <v>128</v>
      </c>
      <c r="B72" s="104">
        <v>3801</v>
      </c>
      <c r="C72" s="104">
        <v>13710</v>
      </c>
      <c r="D72" s="141">
        <v>3.606945540647198</v>
      </c>
    </row>
    <row r="73" spans="1:4" ht="11.25">
      <c r="A73" s="102" t="s">
        <v>129</v>
      </c>
      <c r="B73" s="104">
        <v>200</v>
      </c>
      <c r="C73" s="104">
        <v>591</v>
      </c>
      <c r="D73" s="141">
        <v>2.955</v>
      </c>
    </row>
    <row r="74" spans="1:4" ht="11.25">
      <c r="A74" s="113" t="s">
        <v>130</v>
      </c>
      <c r="B74" s="107">
        <v>518</v>
      </c>
      <c r="C74" s="104">
        <v>1692</v>
      </c>
      <c r="D74" s="141">
        <v>3.2664092664092665</v>
      </c>
    </row>
    <row r="75" spans="1:4" ht="11.25">
      <c r="A75" s="102" t="s">
        <v>131</v>
      </c>
      <c r="B75" s="104">
        <v>4</v>
      </c>
      <c r="C75" s="104">
        <v>14</v>
      </c>
      <c r="D75" s="141">
        <v>3.5</v>
      </c>
    </row>
    <row r="76" spans="1:4" ht="11.25">
      <c r="A76" s="105" t="s">
        <v>152</v>
      </c>
      <c r="B76" s="104">
        <v>158</v>
      </c>
      <c r="C76" s="104">
        <v>391</v>
      </c>
      <c r="D76" s="141">
        <v>2.4746835443037973</v>
      </c>
    </row>
    <row r="77" spans="1:4" ht="11.25">
      <c r="A77" s="100" t="s">
        <v>28</v>
      </c>
      <c r="B77" s="101"/>
      <c r="C77" s="101"/>
      <c r="D77" s="130"/>
    </row>
    <row r="78" spans="1:4" ht="11.25">
      <c r="A78" s="102" t="s">
        <v>133</v>
      </c>
      <c r="B78" s="104">
        <v>1051</v>
      </c>
      <c r="C78" s="104">
        <v>3544</v>
      </c>
      <c r="D78" s="126">
        <v>3.372026641294006</v>
      </c>
    </row>
    <row r="79" spans="1:4" ht="11.25">
      <c r="A79" s="102" t="s">
        <v>134</v>
      </c>
      <c r="B79" s="104">
        <v>3541</v>
      </c>
      <c r="C79" s="104">
        <v>12613</v>
      </c>
      <c r="D79" s="126">
        <v>3.5619881389438013</v>
      </c>
    </row>
    <row r="80" spans="1:4" ht="11.25">
      <c r="A80" s="102" t="s">
        <v>135</v>
      </c>
      <c r="B80" s="104">
        <v>89</v>
      </c>
      <c r="C80" s="104">
        <v>241</v>
      </c>
      <c r="D80" s="126">
        <v>2.707865168539326</v>
      </c>
    </row>
    <row r="81" spans="1:4" ht="11.25">
      <c r="A81" s="100" t="s">
        <v>29</v>
      </c>
      <c r="B81" s="101"/>
      <c r="C81" s="101"/>
      <c r="D81" s="130"/>
    </row>
    <row r="82" spans="1:4" ht="11.25">
      <c r="A82" s="102" t="s">
        <v>128</v>
      </c>
      <c r="B82" s="104">
        <v>720</v>
      </c>
      <c r="C82" s="104">
        <v>2434</v>
      </c>
      <c r="D82" s="126">
        <v>3.3805555555555555</v>
      </c>
    </row>
    <row r="83" spans="1:4" ht="11.25">
      <c r="A83" s="102" t="s">
        <v>136</v>
      </c>
      <c r="B83" s="104">
        <v>3961</v>
      </c>
      <c r="C83" s="104">
        <v>13964</v>
      </c>
      <c r="D83" s="126">
        <v>3.5253723807119415</v>
      </c>
    </row>
    <row r="84" spans="1:4" ht="11.25">
      <c r="A84" s="100" t="s">
        <v>30</v>
      </c>
      <c r="B84" s="160"/>
      <c r="C84" s="160"/>
      <c r="D84" s="125"/>
    </row>
    <row r="85" spans="1:4" ht="11.25">
      <c r="A85" s="113" t="s">
        <v>137</v>
      </c>
      <c r="B85" s="104">
        <v>71</v>
      </c>
      <c r="C85" s="104">
        <v>203</v>
      </c>
      <c r="D85" s="126">
        <v>2.859154929577465</v>
      </c>
    </row>
    <row r="86" spans="1:4" ht="11.25">
      <c r="A86" s="102" t="s">
        <v>138</v>
      </c>
      <c r="B86" s="104">
        <v>4151</v>
      </c>
      <c r="C86" s="104">
        <v>14679</v>
      </c>
      <c r="D86" s="126">
        <v>3.536256323777403</v>
      </c>
    </row>
    <row r="87" spans="1:4" ht="11.25">
      <c r="A87" s="102" t="s">
        <v>139</v>
      </c>
      <c r="B87" s="104">
        <v>459</v>
      </c>
      <c r="C87" s="104">
        <v>1516</v>
      </c>
      <c r="D87" s="126">
        <v>3.3028322440087146</v>
      </c>
    </row>
    <row r="88" spans="1:4" ht="11.25">
      <c r="A88" s="100" t="s">
        <v>43</v>
      </c>
      <c r="B88" s="101"/>
      <c r="C88" s="101"/>
      <c r="D88" s="131"/>
    </row>
    <row r="89" spans="1:4" ht="11.25">
      <c r="A89" s="102" t="s">
        <v>31</v>
      </c>
      <c r="B89" s="111">
        <v>0.702</v>
      </c>
      <c r="C89" s="112">
        <v>11576</v>
      </c>
      <c r="D89" s="126">
        <v>3.7</v>
      </c>
    </row>
    <row r="90" spans="1:4" ht="11.25">
      <c r="A90" s="102" t="s">
        <v>140</v>
      </c>
      <c r="B90" s="111">
        <v>0.935</v>
      </c>
      <c r="C90" s="112">
        <v>12140</v>
      </c>
      <c r="D90" s="144">
        <v>3.5</v>
      </c>
    </row>
    <row r="91" spans="1:4" ht="11.25">
      <c r="A91" s="113" t="s">
        <v>33</v>
      </c>
      <c r="B91" s="115">
        <v>0.048</v>
      </c>
      <c r="C91" s="116">
        <v>691</v>
      </c>
      <c r="D91" s="145">
        <v>3.1</v>
      </c>
    </row>
    <row r="92" spans="1:4" ht="11.25">
      <c r="A92" s="113" t="s">
        <v>34</v>
      </c>
      <c r="B92" s="115">
        <v>0.124</v>
      </c>
      <c r="C92" s="146">
        <v>1848</v>
      </c>
      <c r="D92" s="162">
        <v>3.2</v>
      </c>
    </row>
    <row r="93" spans="1:4" ht="11.25">
      <c r="A93" s="113" t="s">
        <v>35</v>
      </c>
      <c r="B93" s="115">
        <v>0.04</v>
      </c>
      <c r="C93" s="146">
        <v>583</v>
      </c>
      <c r="D93" s="145">
        <v>3.1</v>
      </c>
    </row>
    <row r="94" spans="1:4" ht="11.25">
      <c r="A94" s="102" t="s">
        <v>36</v>
      </c>
      <c r="B94" s="111">
        <v>0.818</v>
      </c>
      <c r="C94" s="148">
        <v>14149</v>
      </c>
      <c r="D94" s="163">
        <v>3.7</v>
      </c>
    </row>
    <row r="95" spans="1:4" ht="11.25">
      <c r="A95" s="102" t="s">
        <v>37</v>
      </c>
      <c r="B95" s="115">
        <v>0.783</v>
      </c>
      <c r="C95" s="146">
        <v>13546</v>
      </c>
      <c r="D95" s="145">
        <v>3.7</v>
      </c>
    </row>
    <row r="96" spans="1:4" ht="11.25">
      <c r="A96" s="102" t="s">
        <v>38</v>
      </c>
      <c r="B96" s="115">
        <v>0.335</v>
      </c>
      <c r="C96" s="104">
        <v>5637</v>
      </c>
      <c r="D96" s="141">
        <v>3.6</v>
      </c>
    </row>
    <row r="97" spans="1:4" ht="11.25">
      <c r="A97" s="102" t="s">
        <v>142</v>
      </c>
      <c r="B97" s="111">
        <v>0.169</v>
      </c>
      <c r="C97" s="104">
        <v>2585</v>
      </c>
      <c r="D97" s="141">
        <v>3.3</v>
      </c>
    </row>
    <row r="98" spans="1:4" ht="11.25">
      <c r="A98" s="102" t="s">
        <v>143</v>
      </c>
      <c r="B98" s="115">
        <v>0.746</v>
      </c>
      <c r="C98" s="146">
        <v>1329</v>
      </c>
      <c r="D98" s="141">
        <v>3.7</v>
      </c>
    </row>
    <row r="99" spans="1:4" ht="11.25">
      <c r="A99" s="102" t="s">
        <v>41</v>
      </c>
      <c r="B99" s="115">
        <v>0.242</v>
      </c>
      <c r="C99" s="146">
        <v>4025</v>
      </c>
      <c r="D99" s="141">
        <v>3.5</v>
      </c>
    </row>
    <row r="100" spans="1:4" ht="11.25">
      <c r="A100" s="102" t="s">
        <v>42</v>
      </c>
      <c r="B100" s="115">
        <v>0.873</v>
      </c>
      <c r="C100" s="107">
        <v>14828</v>
      </c>
      <c r="D100" s="141">
        <v>3.6298653610771114</v>
      </c>
    </row>
    <row r="101" spans="1:4" ht="11.25">
      <c r="A101" s="100" t="s">
        <v>2</v>
      </c>
      <c r="B101" s="117"/>
      <c r="C101" s="101"/>
      <c r="D101" s="125"/>
    </row>
    <row r="102" spans="1:4" ht="11.25">
      <c r="A102" s="102" t="s">
        <v>62</v>
      </c>
      <c r="B102" s="164">
        <v>0.6150395214697714</v>
      </c>
      <c r="C102" s="104">
        <v>9600</v>
      </c>
      <c r="D102" s="147">
        <v>3.2997071265863975</v>
      </c>
    </row>
    <row r="103" spans="1:4" ht="11.25">
      <c r="A103" s="102" t="s">
        <v>59</v>
      </c>
      <c r="B103" s="164">
        <v>0.3170262764366588</v>
      </c>
      <c r="C103" s="104">
        <v>5546</v>
      </c>
      <c r="D103" s="147">
        <v>3.6073632687805914</v>
      </c>
    </row>
    <row r="104" spans="1:4" ht="11.25">
      <c r="A104" s="102" t="s">
        <v>60</v>
      </c>
      <c r="B104" s="164">
        <v>0.05661183507797479</v>
      </c>
      <c r="C104" s="104">
        <v>1029</v>
      </c>
      <c r="D104" s="147">
        <v>3.9531568228105907</v>
      </c>
    </row>
    <row r="105" spans="1:4" ht="11.25">
      <c r="A105" s="113" t="s">
        <v>61</v>
      </c>
      <c r="B105" s="164">
        <v>0.01132236701559496</v>
      </c>
      <c r="C105" s="165">
        <v>223</v>
      </c>
      <c r="D105" s="147">
        <v>4.764525993883792</v>
      </c>
    </row>
    <row r="106" spans="1:4" ht="11.25">
      <c r="A106" s="100" t="s">
        <v>1</v>
      </c>
      <c r="B106" s="117"/>
      <c r="C106" s="101"/>
      <c r="D106" s="125"/>
    </row>
    <row r="107" spans="1:4" ht="11.25">
      <c r="A107" s="102" t="s">
        <v>63</v>
      </c>
      <c r="B107" s="111">
        <v>0.7308267464217048</v>
      </c>
      <c r="C107" s="104">
        <v>11463</v>
      </c>
      <c r="D107" s="147">
        <v>3.3507746273019583</v>
      </c>
    </row>
    <row r="108" spans="1:4" ht="11.25">
      <c r="A108" s="102" t="s">
        <v>64</v>
      </c>
      <c r="B108" s="111">
        <v>0.22110660115359965</v>
      </c>
      <c r="C108" s="104">
        <v>3925</v>
      </c>
      <c r="D108" s="147">
        <v>3.792270531400966</v>
      </c>
    </row>
    <row r="109" spans="1:4" ht="11.25">
      <c r="A109" s="102" t="s">
        <v>65</v>
      </c>
      <c r="B109" s="111">
        <v>0.035248878444776754</v>
      </c>
      <c r="C109" s="104">
        <v>754</v>
      </c>
      <c r="D109" s="147">
        <v>4.569696969696969</v>
      </c>
    </row>
    <row r="110" spans="1:4" ht="11.25">
      <c r="A110" s="102" t="s">
        <v>66</v>
      </c>
      <c r="B110" s="111">
        <v>0.01281777397991882</v>
      </c>
      <c r="C110" s="165">
        <v>256</v>
      </c>
      <c r="D110" s="147">
        <v>4.266666666666667</v>
      </c>
    </row>
    <row r="111" spans="1:4" ht="11.25">
      <c r="A111" s="100" t="s">
        <v>67</v>
      </c>
      <c r="B111" s="101"/>
      <c r="C111" s="101"/>
      <c r="D111" s="125"/>
    </row>
    <row r="112" spans="1:4" ht="11.25">
      <c r="A112" s="102" t="s">
        <v>68</v>
      </c>
      <c r="B112" s="111">
        <v>0.6795556505020295</v>
      </c>
      <c r="C112" s="104">
        <v>10298</v>
      </c>
      <c r="D112" s="141">
        <v>3.237346746306193</v>
      </c>
    </row>
    <row r="113" spans="1:4" ht="11.25">
      <c r="A113" s="102" t="s">
        <v>69</v>
      </c>
      <c r="B113" s="111">
        <v>0.26148258919034395</v>
      </c>
      <c r="C113" s="104">
        <v>4997</v>
      </c>
      <c r="D113" s="141">
        <v>4.082516339869281</v>
      </c>
    </row>
    <row r="114" spans="1:4" ht="11.25">
      <c r="A114" s="102" t="s">
        <v>70</v>
      </c>
      <c r="B114" s="111">
        <v>0.04550309762871181</v>
      </c>
      <c r="C114" s="104">
        <v>863</v>
      </c>
      <c r="D114" s="141">
        <v>4.051643192488263</v>
      </c>
    </row>
    <row r="115" spans="1:4" ht="11.25">
      <c r="A115" s="102" t="s">
        <v>71</v>
      </c>
      <c r="B115" s="111">
        <v>0.013458662678914763</v>
      </c>
      <c r="C115" s="104">
        <v>240</v>
      </c>
      <c r="D115" s="141">
        <v>3.8095238095238093</v>
      </c>
    </row>
    <row r="116" spans="1:4" ht="11.25">
      <c r="A116" s="100" t="s">
        <v>72</v>
      </c>
      <c r="B116" s="117"/>
      <c r="C116" s="117"/>
      <c r="D116" s="169"/>
    </row>
    <row r="117" spans="1:4" ht="11.25">
      <c r="A117" s="102" t="s">
        <v>73</v>
      </c>
      <c r="B117" s="111">
        <v>0.9045075838496048</v>
      </c>
      <c r="C117" s="104">
        <v>14751</v>
      </c>
      <c r="D117" s="141">
        <v>3.483939537080775</v>
      </c>
    </row>
    <row r="118" spans="1:4" ht="11.25">
      <c r="A118" s="102" t="s">
        <v>74</v>
      </c>
      <c r="B118" s="111">
        <v>0.07092501602221747</v>
      </c>
      <c r="C118" s="104">
        <v>1231</v>
      </c>
      <c r="D118" s="141">
        <v>3.7078313253012047</v>
      </c>
    </row>
    <row r="119" spans="1:4" ht="11.25">
      <c r="A119" s="102" t="s">
        <v>75</v>
      </c>
      <c r="B119" s="111">
        <v>0.013031403546250802</v>
      </c>
      <c r="C119" s="104">
        <v>229</v>
      </c>
      <c r="D119" s="141">
        <v>3.7540983606557377</v>
      </c>
    </row>
    <row r="120" spans="1:4" ht="11.25">
      <c r="A120" s="134" t="s">
        <v>76</v>
      </c>
      <c r="B120" s="135">
        <v>0.011535996581926939</v>
      </c>
      <c r="C120" s="150">
        <v>187</v>
      </c>
      <c r="D120" s="151">
        <v>3.462962962962963</v>
      </c>
    </row>
    <row r="121" spans="1:4" ht="11.25">
      <c r="A121" s="120"/>
      <c r="B121" s="120"/>
      <c r="C121" s="120"/>
      <c r="D121" s="120"/>
    </row>
    <row r="122" spans="1:4" ht="11.25">
      <c r="A122" s="120"/>
      <c r="B122" s="120"/>
      <c r="C122" s="120"/>
      <c r="D122" s="41" t="s">
        <v>49</v>
      </c>
    </row>
    <row r="123" spans="1:4" ht="11.25">
      <c r="A123" s="120"/>
      <c r="B123" s="120"/>
      <c r="C123" s="120"/>
      <c r="D123" s="12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A1" sqref="A1:H2"/>
    </sheetView>
  </sheetViews>
  <sheetFormatPr defaultColWidth="11.421875" defaultRowHeight="15"/>
  <cols>
    <col min="1" max="1" width="37.57421875" style="0" customWidth="1"/>
    <col min="2" max="2" width="7.7109375" style="0" customWidth="1"/>
    <col min="3" max="8" width="6.7109375" style="0" customWidth="1"/>
  </cols>
  <sheetData>
    <row r="1" spans="1:8" ht="15" customHeight="1">
      <c r="A1" s="224" t="s">
        <v>47</v>
      </c>
      <c r="B1" s="224"/>
      <c r="C1" s="224"/>
      <c r="D1" s="224"/>
      <c r="E1" s="224"/>
      <c r="F1" s="224"/>
      <c r="G1" s="224"/>
      <c r="H1" s="224"/>
    </row>
    <row r="2" spans="1:8" ht="15">
      <c r="A2" s="224"/>
      <c r="B2" s="224"/>
      <c r="C2" s="224"/>
      <c r="D2" s="224"/>
      <c r="E2" s="224"/>
      <c r="F2" s="224"/>
      <c r="G2" s="224"/>
      <c r="H2" s="224"/>
    </row>
    <row r="3" spans="1:8" ht="15">
      <c r="A3" s="35"/>
      <c r="B3" s="51"/>
      <c r="C3" s="51"/>
      <c r="D3" s="52" t="s">
        <v>46</v>
      </c>
      <c r="E3" s="51"/>
      <c r="F3" s="51"/>
      <c r="G3" s="51"/>
      <c r="H3" s="51"/>
    </row>
    <row r="4" spans="1:8" ht="27.75" customHeight="1">
      <c r="A4" s="51"/>
      <c r="B4" s="211" t="str">
        <f>_xlfn.COMPOUNDVALUE(1434)</f>
        <v>Ensemble</v>
      </c>
      <c r="C4" s="211" t="str">
        <f>_xlfn.COMPOUNDVALUE(1387)</f>
        <v>1 pièce</v>
      </c>
      <c r="D4" s="211" t="str">
        <f>_xlfn.COMPOUNDVALUE(1388)</f>
        <v>2 pièces</v>
      </c>
      <c r="E4" s="211" t="str">
        <f>_xlfn.COMPOUNDVALUE(1386)</f>
        <v>3 pièces</v>
      </c>
      <c r="F4" s="211" t="str">
        <f>_xlfn.COMPOUNDVALUE(1384)</f>
        <v>4 pièces</v>
      </c>
      <c r="G4" s="211" t="str">
        <f>_xlfn.COMPOUNDVALUE(1385)</f>
        <v>5 pièces</v>
      </c>
      <c r="H4" s="211" t="str">
        <f>_xlfn.COMPOUNDVALUE(1383)</f>
        <v>6 pièces ou plus</v>
      </c>
    </row>
    <row r="5" spans="1:8" ht="15">
      <c r="A5" s="83" t="str">
        <f>_xlfn.COMPOUNDVALUE(517)</f>
        <v>Ensemble des résidences principales</v>
      </c>
      <c r="B5" s="73">
        <f>_xlfn.COMPOUNDVALUE(1435)</f>
        <v>72708</v>
      </c>
      <c r="C5" s="73">
        <f>_xlfn.COMPOUNDVALUE(1428)</f>
        <v>5912</v>
      </c>
      <c r="D5" s="73">
        <f>_xlfn.COMPOUNDVALUE(1429)</f>
        <v>13114</v>
      </c>
      <c r="E5" s="73">
        <f>_xlfn.COMPOUNDVALUE(1430)</f>
        <v>25821</v>
      </c>
      <c r="F5" s="73">
        <f>_xlfn.COMPOUNDVALUE(1431)</f>
        <v>18793</v>
      </c>
      <c r="G5" s="73">
        <f>_xlfn.COMPOUNDVALUE(1432)</f>
        <v>6561</v>
      </c>
      <c r="H5" s="79">
        <f>_xlfn.COMPOUNDVALUE(1433)</f>
        <v>2507</v>
      </c>
    </row>
    <row r="6" spans="1:8" ht="15">
      <c r="A6" s="56" t="str">
        <f>_xlfn.COMPOUNDVALUE(517)</f>
        <v> </v>
      </c>
      <c r="B6" s="8"/>
      <c r="C6" s="8"/>
      <c r="D6" s="8"/>
      <c r="E6" s="8"/>
      <c r="F6" s="8"/>
      <c r="G6" s="8"/>
      <c r="H6" s="9"/>
    </row>
    <row r="7" spans="1:8" ht="15">
      <c r="A7" s="84" t="s">
        <v>8</v>
      </c>
      <c r="B7" s="22" t="str">
        <f>_xlfn.COMPOUNDVALUE(1434)</f>
        <v> </v>
      </c>
      <c r="C7" s="22" t="str">
        <f>_xlfn.COMPOUNDVALUE(1387)</f>
        <v> </v>
      </c>
      <c r="D7" s="22" t="str">
        <f>_xlfn.COMPOUNDVALUE(1388)</f>
        <v> </v>
      </c>
      <c r="E7" s="22" t="str">
        <f>_xlfn.COMPOUNDVALUE(1386)</f>
        <v> </v>
      </c>
      <c r="F7" s="22" t="str">
        <f>_xlfn.COMPOUNDVALUE(1384)</f>
        <v> </v>
      </c>
      <c r="G7" s="22" t="str">
        <f>_xlfn.COMPOUNDVALUE(1385)</f>
        <v> </v>
      </c>
      <c r="H7" s="25" t="str">
        <f>_xlfn.COMPOUNDVALUE(1383)</f>
        <v> </v>
      </c>
    </row>
    <row r="8" spans="1:8" ht="15">
      <c r="A8" s="23" t="str">
        <f>_xlfn.COMPOUNDVALUE(1371)</f>
        <v>1</v>
      </c>
      <c r="B8" s="45">
        <f>_xlfn.COMPOUNDVALUE(1451)</f>
        <v>10533</v>
      </c>
      <c r="C8" s="45">
        <f>_xlfn.COMPOUNDVALUE(1448)</f>
        <v>2089</v>
      </c>
      <c r="D8" s="45">
        <f>_xlfn.COMPOUNDVALUE(1447)</f>
        <v>2969</v>
      </c>
      <c r="E8" s="45">
        <f>_xlfn.COMPOUNDVALUE(1449)</f>
        <v>3488</v>
      </c>
      <c r="F8" s="45">
        <f>_xlfn.COMPOUNDVALUE(1446)</f>
        <v>1512</v>
      </c>
      <c r="G8" s="45">
        <f>_xlfn.COMPOUNDVALUE(1450)</f>
        <v>346</v>
      </c>
      <c r="H8" s="49">
        <f>_xlfn.COMPOUNDVALUE(1445)</f>
        <v>129</v>
      </c>
    </row>
    <row r="9" spans="1:8" ht="15">
      <c r="A9" s="23" t="str">
        <f>_xlfn.COMPOUNDVALUE(1373)</f>
        <v>2</v>
      </c>
      <c r="B9" s="45">
        <f>_xlfn.COMPOUNDVALUE(1491)</f>
        <v>15753</v>
      </c>
      <c r="C9" s="45">
        <f>_xlfn.COMPOUNDVALUE(1488)</f>
        <v>1527</v>
      </c>
      <c r="D9" s="45">
        <f>_xlfn.COMPOUNDVALUE(1452)</f>
        <v>3513</v>
      </c>
      <c r="E9" s="45">
        <f>_xlfn.COMPOUNDVALUE(1489)</f>
        <v>5953</v>
      </c>
      <c r="F9" s="45">
        <f>_xlfn.COMPOUNDVALUE(1453)</f>
        <v>3501</v>
      </c>
      <c r="G9" s="45">
        <f>_xlfn.COMPOUNDVALUE(1490)</f>
        <v>959</v>
      </c>
      <c r="H9" s="49">
        <f>_xlfn.COMPOUNDVALUE(1454)</f>
        <v>300</v>
      </c>
    </row>
    <row r="10" spans="1:8" ht="15">
      <c r="A10" s="23" t="str">
        <f>_xlfn.COMPOUNDVALUE(1370)</f>
        <v>3</v>
      </c>
      <c r="B10" s="45">
        <f>_xlfn.COMPOUNDVALUE(1458)</f>
        <v>14228</v>
      </c>
      <c r="C10" s="45">
        <f>_xlfn.COMPOUNDVALUE(1455)</f>
        <v>1008</v>
      </c>
      <c r="D10" s="45">
        <f>_xlfn.COMPOUNDVALUE(1444)</f>
        <v>2714</v>
      </c>
      <c r="E10" s="45">
        <f>_xlfn.COMPOUNDVALUE(1456)</f>
        <v>5522</v>
      </c>
      <c r="F10" s="45">
        <f>_xlfn.COMPOUNDVALUE(1443)</f>
        <v>3642</v>
      </c>
      <c r="G10" s="45">
        <f>_xlfn.COMPOUNDVALUE(1457)</f>
        <v>969</v>
      </c>
      <c r="H10" s="49">
        <f>_xlfn.COMPOUNDVALUE(1442)</f>
        <v>373</v>
      </c>
    </row>
    <row r="11" spans="1:8" ht="15">
      <c r="A11" s="23" t="str">
        <f>_xlfn.COMPOUNDVALUE(1367)</f>
        <v>4</v>
      </c>
      <c r="B11" s="45">
        <f>_xlfn.COMPOUNDVALUE(1487)</f>
        <v>12853</v>
      </c>
      <c r="C11" s="45">
        <f>_xlfn.COMPOUNDVALUE(1484)</f>
        <v>675</v>
      </c>
      <c r="D11" s="45">
        <f>_xlfn.COMPOUNDVALUE(1459)</f>
        <v>1908</v>
      </c>
      <c r="E11" s="45">
        <f>_xlfn.COMPOUNDVALUE(1485)</f>
        <v>4791</v>
      </c>
      <c r="F11" s="45">
        <f>_xlfn.COMPOUNDVALUE(1460)</f>
        <v>3910</v>
      </c>
      <c r="G11" s="45">
        <f>_xlfn.COMPOUNDVALUE(1486)</f>
        <v>1182</v>
      </c>
      <c r="H11" s="49">
        <f>_xlfn.COMPOUNDVALUE(1461)</f>
        <v>387</v>
      </c>
    </row>
    <row r="12" spans="1:8" ht="15">
      <c r="A12" s="23" t="str">
        <f>_xlfn.COMPOUNDVALUE(1369)</f>
        <v>5</v>
      </c>
      <c r="B12" s="45">
        <f>_xlfn.COMPOUNDVALUE(1465)</f>
        <v>7973</v>
      </c>
      <c r="C12" s="45">
        <f>_xlfn.COMPOUNDVALUE(1462)</f>
        <v>326</v>
      </c>
      <c r="D12" s="45">
        <f>_xlfn.COMPOUNDVALUE(1441)</f>
        <v>987</v>
      </c>
      <c r="E12" s="45">
        <f>_xlfn.COMPOUNDVALUE(1463)</f>
        <v>2803</v>
      </c>
      <c r="F12" s="45">
        <f>_xlfn.COMPOUNDVALUE(1440)</f>
        <v>2525</v>
      </c>
      <c r="G12" s="45">
        <f>_xlfn.COMPOUNDVALUE(1464)</f>
        <v>1017</v>
      </c>
      <c r="H12" s="49">
        <f>_xlfn.COMPOUNDVALUE(1439)</f>
        <v>315</v>
      </c>
    </row>
    <row r="13" spans="1:8" ht="15">
      <c r="A13" s="23" t="str">
        <f>_xlfn.COMPOUNDVALUE(1372)</f>
        <v>6</v>
      </c>
      <c r="B13" s="45">
        <f>_xlfn.COMPOUNDVALUE(1483)</f>
        <v>4263</v>
      </c>
      <c r="C13" s="45">
        <f>_xlfn.COMPOUNDVALUE(1480)</f>
        <v>145</v>
      </c>
      <c r="D13" s="45">
        <f>_xlfn.COMPOUNDVALUE(1466)</f>
        <v>482</v>
      </c>
      <c r="E13" s="45">
        <f>_xlfn.COMPOUNDVALUE(1481)</f>
        <v>1430</v>
      </c>
      <c r="F13" s="45">
        <f>_xlfn.COMPOUNDVALUE(1467)</f>
        <v>1370</v>
      </c>
      <c r="G13" s="45">
        <f>_xlfn.COMPOUNDVALUE(1482)</f>
        <v>615</v>
      </c>
      <c r="H13" s="49">
        <f>_xlfn.COMPOUNDVALUE(1468)</f>
        <v>221</v>
      </c>
    </row>
    <row r="14" spans="1:8" ht="15">
      <c r="A14" s="23" t="str">
        <f>_xlfn.COMPOUNDVALUE(1368)</f>
        <v>7</v>
      </c>
      <c r="B14" s="45">
        <f>_xlfn.COMPOUNDVALUE(1472)</f>
        <v>2547</v>
      </c>
      <c r="C14" s="45">
        <f>_xlfn.COMPOUNDVALUE(1469)</f>
        <v>76</v>
      </c>
      <c r="D14" s="45">
        <f>_xlfn.COMPOUNDVALUE(1438)</f>
        <v>257</v>
      </c>
      <c r="E14" s="45">
        <f>_xlfn.COMPOUNDVALUE(1470)</f>
        <v>763</v>
      </c>
      <c r="F14" s="45">
        <f>_xlfn.COMPOUNDVALUE(1437)</f>
        <v>818</v>
      </c>
      <c r="G14" s="45">
        <f>_xlfn.COMPOUNDVALUE(1471)</f>
        <v>470</v>
      </c>
      <c r="H14" s="49">
        <f>_xlfn.COMPOUNDVALUE(1436)</f>
        <v>163</v>
      </c>
    </row>
    <row r="15" spans="1:8" ht="15">
      <c r="A15" s="23" t="str">
        <f>_xlfn.COMPOUNDVALUE(1366)</f>
        <v>8 et plus</v>
      </c>
      <c r="B15" s="45">
        <f>_xlfn.COMPOUNDVALUE(1479)</f>
        <v>4558</v>
      </c>
      <c r="C15" s="45">
        <f>_xlfn.COMPOUNDVALUE(1476)</f>
        <v>66</v>
      </c>
      <c r="D15" s="45">
        <f>_xlfn.COMPOUNDVALUE(1473)</f>
        <v>284</v>
      </c>
      <c r="E15" s="45">
        <f>_xlfn.COMPOUNDVALUE(1477)</f>
        <v>1071</v>
      </c>
      <c r="F15" s="45">
        <f>_xlfn.COMPOUNDVALUE(1474)</f>
        <v>1515</v>
      </c>
      <c r="G15" s="45">
        <f>_xlfn.COMPOUNDVALUE(1478)</f>
        <v>1003</v>
      </c>
      <c r="H15" s="49">
        <f>_xlfn.COMPOUNDVALUE(1475)</f>
        <v>619</v>
      </c>
    </row>
    <row r="16" spans="1:8" ht="4.5" customHeight="1">
      <c r="A16" s="74" t="str">
        <f>_xlfn.COMPOUNDVALUE(517)</f>
        <v> </v>
      </c>
      <c r="B16" s="22"/>
      <c r="C16" s="22"/>
      <c r="D16" s="22"/>
      <c r="E16" s="22"/>
      <c r="F16" s="22"/>
      <c r="G16" s="22"/>
      <c r="H16" s="25"/>
    </row>
    <row r="17" spans="1:8" ht="15">
      <c r="A17" s="84" t="s">
        <v>10</v>
      </c>
      <c r="B17" s="22" t="str">
        <f>_xlfn.COMPOUNDVALUE(1434)</f>
        <v> </v>
      </c>
      <c r="C17" s="22" t="str">
        <f>_xlfn.COMPOUNDVALUE(1387)</f>
        <v> </v>
      </c>
      <c r="D17" s="22" t="str">
        <f>_xlfn.COMPOUNDVALUE(1388)</f>
        <v> </v>
      </c>
      <c r="E17" s="22" t="str">
        <f>_xlfn.COMPOUNDVALUE(1386)</f>
        <v> </v>
      </c>
      <c r="F17" s="22" t="str">
        <f>_xlfn.COMPOUNDVALUE(1384)</f>
        <v> </v>
      </c>
      <c r="G17" s="22" t="str">
        <f>_xlfn.COMPOUNDVALUE(1385)</f>
        <v> </v>
      </c>
      <c r="H17" s="25" t="str">
        <f>_xlfn.COMPOUNDVALUE(1383)</f>
        <v> </v>
      </c>
    </row>
    <row r="18" spans="1:8" ht="15">
      <c r="A18" s="23" t="str">
        <f>_xlfn.COMPOUNDVALUE(1382)</f>
        <v>Ferme, bâtiment agricole</v>
      </c>
      <c r="B18" s="45">
        <f>_xlfn.COMPOUNDVALUE(1535)</f>
        <v>291</v>
      </c>
      <c r="C18" s="45">
        <f>_xlfn.COMPOUNDVALUE(1550)</f>
        <v>47</v>
      </c>
      <c r="D18" s="45">
        <f>_xlfn.COMPOUNDVALUE(1492)</f>
        <v>47</v>
      </c>
      <c r="E18" s="45">
        <f>_xlfn.COMPOUNDVALUE(1545)</f>
        <v>100</v>
      </c>
      <c r="F18" s="45">
        <f>_xlfn.COMPOUNDVALUE(1493)</f>
        <v>64</v>
      </c>
      <c r="G18" s="45">
        <f>_xlfn.COMPOUNDVALUE(1540)</f>
        <v>17</v>
      </c>
      <c r="H18" s="49">
        <f>_xlfn.COMPOUNDVALUE(1494)</f>
        <v>16</v>
      </c>
    </row>
    <row r="19" spans="1:8" ht="15">
      <c r="A19" s="23" t="str">
        <f>_xlfn.COMPOUNDVALUE(1379)</f>
        <v>Fare ATR, MTR, FEI, OPH</v>
      </c>
      <c r="B19" s="45">
        <f>_xlfn.COMPOUNDVALUE(1498)</f>
        <v>10777</v>
      </c>
      <c r="C19" s="45">
        <f>_xlfn.COMPOUNDVALUE(1495)</f>
        <v>94</v>
      </c>
      <c r="D19" s="45">
        <f>_xlfn.COMPOUNDVALUE(1532)</f>
        <v>1289</v>
      </c>
      <c r="E19" s="45">
        <f>_xlfn.COMPOUNDVALUE(1496)</f>
        <v>4517</v>
      </c>
      <c r="F19" s="45">
        <f>_xlfn.COMPOUNDVALUE(1533)</f>
        <v>3442</v>
      </c>
      <c r="G19" s="45">
        <f>_xlfn.COMPOUNDVALUE(1497)</f>
        <v>1191</v>
      </c>
      <c r="H19" s="49">
        <f>_xlfn.COMPOUNDVALUE(1534)</f>
        <v>244</v>
      </c>
    </row>
    <row r="20" spans="1:8" ht="15">
      <c r="A20" s="23" t="str">
        <f>_xlfn.COMPOUNDVALUE(1381)</f>
        <v>Maison individuelle (autre que 2)</v>
      </c>
      <c r="B20" s="45">
        <f>_xlfn.COMPOUNDVALUE(1536)</f>
        <v>51942</v>
      </c>
      <c r="C20" s="45">
        <f>_xlfn.COMPOUNDVALUE(1551)</f>
        <v>3765</v>
      </c>
      <c r="D20" s="45">
        <f>_xlfn.COMPOUNDVALUE(1499)</f>
        <v>8830</v>
      </c>
      <c r="E20" s="45">
        <f>_xlfn.COMPOUNDVALUE(1546)</f>
        <v>18512</v>
      </c>
      <c r="F20" s="45">
        <f>_xlfn.COMPOUNDVALUE(1500)</f>
        <v>13914</v>
      </c>
      <c r="G20" s="45">
        <f>_xlfn.COMPOUNDVALUE(1541)</f>
        <v>4791</v>
      </c>
      <c r="H20" s="49">
        <f>_xlfn.COMPOUNDVALUE(1501)</f>
        <v>2130</v>
      </c>
    </row>
    <row r="21" spans="1:8" ht="15">
      <c r="A21" s="23" t="str">
        <f>_xlfn.COMPOUNDVALUE(1378)</f>
        <v>Immeuble collectif de l'OPH</v>
      </c>
      <c r="B21" s="45">
        <f>_xlfn.COMPOUNDVALUE(1505)</f>
        <v>1800</v>
      </c>
      <c r="C21" s="45">
        <f>_xlfn.COMPOUNDVALUE(1502)</f>
        <v>83</v>
      </c>
      <c r="D21" s="45">
        <f>_xlfn.COMPOUNDVALUE(1529)</f>
        <v>311</v>
      </c>
      <c r="E21" s="45">
        <f>_xlfn.COMPOUNDVALUE(1503)</f>
        <v>545</v>
      </c>
      <c r="F21" s="45">
        <f>_xlfn.COMPOUNDVALUE(1530)</f>
        <v>473</v>
      </c>
      <c r="G21" s="45">
        <f>_xlfn.COMPOUNDVALUE(1504)</f>
        <v>348</v>
      </c>
      <c r="H21" s="49">
        <f>_xlfn.COMPOUNDVALUE(1531)</f>
        <v>40</v>
      </c>
    </row>
    <row r="22" spans="1:8" ht="15">
      <c r="A22" s="23" t="str">
        <f>_xlfn.COMPOUNDVALUE(1375)</f>
        <v>Autre immeuble collectif</v>
      </c>
      <c r="B22" s="45">
        <f>_xlfn.COMPOUNDVALUE(1537)</f>
        <v>6153</v>
      </c>
      <c r="C22" s="45">
        <f>_xlfn.COMPOUNDVALUE(1552)</f>
        <v>1189</v>
      </c>
      <c r="D22" s="45">
        <f>_xlfn.COMPOUNDVALUE(1506)</f>
        <v>2186</v>
      </c>
      <c r="E22" s="45">
        <f>_xlfn.COMPOUNDVALUE(1547)</f>
        <v>1818</v>
      </c>
      <c r="F22" s="45">
        <f>_xlfn.COMPOUNDVALUE(1507)</f>
        <v>765</v>
      </c>
      <c r="G22" s="45">
        <f>_xlfn.COMPOUNDVALUE(1542)</f>
        <v>148</v>
      </c>
      <c r="H22" s="49">
        <f>_xlfn.COMPOUNDVALUE(1508)</f>
        <v>47</v>
      </c>
    </row>
    <row r="23" spans="1:8" ht="15">
      <c r="A23" s="23" t="str">
        <f>_xlfn.COMPOUNDVALUE(1377)</f>
        <v>Hôtel, pension de famille</v>
      </c>
      <c r="B23" s="45">
        <f>_xlfn.COMPOUNDVALUE(1512)</f>
        <v>304</v>
      </c>
      <c r="C23" s="45">
        <f>_xlfn.COMPOUNDVALUE(1509)</f>
        <v>75</v>
      </c>
      <c r="D23" s="45">
        <f>_xlfn.COMPOUNDVALUE(1526)</f>
        <v>110</v>
      </c>
      <c r="E23" s="45">
        <f>_xlfn.COMPOUNDVALUE(1510)</f>
        <v>62</v>
      </c>
      <c r="F23" s="45">
        <f>_xlfn.COMPOUNDVALUE(1527)</f>
        <v>33</v>
      </c>
      <c r="G23" s="45">
        <f>_xlfn.COMPOUNDVALUE(1511)</f>
        <v>12</v>
      </c>
      <c r="H23" s="49">
        <f>_xlfn.COMPOUNDVALUE(1528)</f>
        <v>12</v>
      </c>
    </row>
    <row r="24" spans="1:8" ht="15">
      <c r="A24" s="23" t="str">
        <f>_xlfn.COMPOUNDVALUE(1380)</f>
        <v>Habitation mobile : bateau, véhicule</v>
      </c>
      <c r="B24" s="45">
        <f>_xlfn.COMPOUNDVALUE(1538)</f>
        <v>25</v>
      </c>
      <c r="C24" s="45">
        <f>_xlfn.COMPOUNDVALUE(1553)</f>
        <v>2</v>
      </c>
      <c r="D24" s="45">
        <f>_xlfn.COMPOUNDVALUE(1513)</f>
        <v>8</v>
      </c>
      <c r="E24" s="45">
        <f>_xlfn.COMPOUNDVALUE(1548)</f>
        <v>4</v>
      </c>
      <c r="F24" s="45">
        <f>_xlfn.COMPOUNDVALUE(1514)</f>
        <v>3</v>
      </c>
      <c r="G24" s="45">
        <f>_xlfn.COMPOUNDVALUE(1543)</f>
        <v>7</v>
      </c>
      <c r="H24" s="49">
        <f>_xlfn.COMPOUNDVALUE(1515)</f>
        <v>1</v>
      </c>
    </row>
    <row r="25" spans="1:8" ht="15">
      <c r="A25" s="23" t="str">
        <f>_xlfn.COMPOUNDVALUE(1376)</f>
        <v>Construction provisoire, habitation de fortune (tente)</v>
      </c>
      <c r="B25" s="45">
        <f>_xlfn.COMPOUNDVALUE(1519)</f>
        <v>1115</v>
      </c>
      <c r="C25" s="45">
        <f>_xlfn.COMPOUNDVALUE(1516)</f>
        <v>573</v>
      </c>
      <c r="D25" s="45">
        <f>_xlfn.COMPOUNDVALUE(1523)</f>
        <v>285</v>
      </c>
      <c r="E25" s="45">
        <f>_xlfn.COMPOUNDVALUE(1517)</f>
        <v>179</v>
      </c>
      <c r="F25" s="45">
        <f>_xlfn.COMPOUNDVALUE(1524)</f>
        <v>49</v>
      </c>
      <c r="G25" s="45">
        <f>_xlfn.COMPOUNDVALUE(1518)</f>
        <v>20</v>
      </c>
      <c r="H25" s="49">
        <f>_xlfn.COMPOUNDVALUE(1525)</f>
        <v>9</v>
      </c>
    </row>
    <row r="26" spans="1:8" ht="15">
      <c r="A26" s="23" t="str">
        <f>_xlfn.COMPOUNDVALUE(1374)</f>
        <v>Autre</v>
      </c>
      <c r="B26" s="45">
        <f>_xlfn.COMPOUNDVALUE(1539)</f>
        <v>301</v>
      </c>
      <c r="C26" s="45">
        <f>_xlfn.COMPOUNDVALUE(1554)</f>
        <v>84</v>
      </c>
      <c r="D26" s="45">
        <f>_xlfn.COMPOUNDVALUE(1520)</f>
        <v>48</v>
      </c>
      <c r="E26" s="45">
        <f>_xlfn.COMPOUNDVALUE(1549)</f>
        <v>84</v>
      </c>
      <c r="F26" s="45">
        <f>_xlfn.COMPOUNDVALUE(1521)</f>
        <v>50</v>
      </c>
      <c r="G26" s="45">
        <f>_xlfn.COMPOUNDVALUE(1544)</f>
        <v>27</v>
      </c>
      <c r="H26" s="49">
        <f>_xlfn.COMPOUNDVALUE(1522)</f>
        <v>8</v>
      </c>
    </row>
    <row r="27" spans="1:8" ht="4.5" customHeight="1">
      <c r="A27" s="74" t="str">
        <f>_xlfn.COMPOUNDVALUE(517)</f>
        <v> </v>
      </c>
      <c r="B27" s="22"/>
      <c r="C27" s="22"/>
      <c r="D27" s="22"/>
      <c r="E27" s="22"/>
      <c r="F27" s="22"/>
      <c r="G27" s="22"/>
      <c r="H27" s="25"/>
    </row>
    <row r="28" spans="1:8" ht="15">
      <c r="A28" s="84" t="s">
        <v>12</v>
      </c>
      <c r="B28" s="22" t="str">
        <f>_xlfn.COMPOUNDVALUE(1434)</f>
        <v> </v>
      </c>
      <c r="C28" s="22" t="str">
        <f>_xlfn.COMPOUNDVALUE(1387)</f>
        <v> </v>
      </c>
      <c r="D28" s="22" t="str">
        <f>_xlfn.COMPOUNDVALUE(1388)</f>
        <v> </v>
      </c>
      <c r="E28" s="22" t="str">
        <f>_xlfn.COMPOUNDVALUE(1386)</f>
        <v> </v>
      </c>
      <c r="F28" s="22" t="str">
        <f>_xlfn.COMPOUNDVALUE(1384)</f>
        <v> </v>
      </c>
      <c r="G28" s="22" t="str">
        <f>_xlfn.COMPOUNDVALUE(1385)</f>
        <v> </v>
      </c>
      <c r="H28" s="25" t="str">
        <f>_xlfn.COMPOUNDVALUE(1383)</f>
        <v> </v>
      </c>
    </row>
    <row r="29" spans="1:8" ht="15">
      <c r="A29" s="23" t="str">
        <f>_xlfn.COMPOUNDVALUE(1393)</f>
        <v>Avant 1989</v>
      </c>
      <c r="B29" s="45">
        <f>_xlfn.COMPOUNDVALUE(1578)</f>
        <v>28595</v>
      </c>
      <c r="C29" s="45">
        <f>_xlfn.COMPOUNDVALUE(1587)</f>
        <v>1735</v>
      </c>
      <c r="D29" s="45">
        <f>_xlfn.COMPOUNDVALUE(1555)</f>
        <v>4486</v>
      </c>
      <c r="E29" s="45">
        <f>_xlfn.COMPOUNDVALUE(1584)</f>
        <v>10030</v>
      </c>
      <c r="F29" s="45">
        <f>_xlfn.COMPOUNDVALUE(1556)</f>
        <v>7774</v>
      </c>
      <c r="G29" s="45">
        <f>_xlfn.COMPOUNDVALUE(1581)</f>
        <v>3142</v>
      </c>
      <c r="H29" s="49">
        <f>_xlfn.COMPOUNDVALUE(1557)</f>
        <v>1428</v>
      </c>
    </row>
    <row r="30" spans="1:8" ht="15">
      <c r="A30" s="23" t="str">
        <f>_xlfn.COMPOUNDVALUE(1391)</f>
        <v>De 1989 à 1996</v>
      </c>
      <c r="B30" s="45">
        <f>_xlfn.COMPOUNDVALUE(1561)</f>
        <v>11305</v>
      </c>
      <c r="C30" s="45">
        <f>_xlfn.COMPOUNDVALUE(1558)</f>
        <v>613</v>
      </c>
      <c r="D30" s="45">
        <f>_xlfn.COMPOUNDVALUE(1575)</f>
        <v>1851</v>
      </c>
      <c r="E30" s="45">
        <f>_xlfn.COMPOUNDVALUE(1559)</f>
        <v>4117</v>
      </c>
      <c r="F30" s="45">
        <f>_xlfn.COMPOUNDVALUE(1576)</f>
        <v>3187</v>
      </c>
      <c r="G30" s="45">
        <f>_xlfn.COMPOUNDVALUE(1560)</f>
        <v>1146</v>
      </c>
      <c r="H30" s="49">
        <f>_xlfn.COMPOUNDVALUE(1577)</f>
        <v>391</v>
      </c>
    </row>
    <row r="31" spans="1:8" ht="15">
      <c r="A31" s="23" t="str">
        <f>_xlfn.COMPOUNDVALUE(1389)</f>
        <v>De 1997 à 2002</v>
      </c>
      <c r="B31" s="45">
        <f>_xlfn.COMPOUNDVALUE(1579)</f>
        <v>11868</v>
      </c>
      <c r="C31" s="45">
        <f>_xlfn.COMPOUNDVALUE(1588)</f>
        <v>856</v>
      </c>
      <c r="D31" s="45">
        <f>_xlfn.COMPOUNDVALUE(1562)</f>
        <v>2176</v>
      </c>
      <c r="E31" s="45">
        <f>_xlfn.COMPOUNDVALUE(1585)</f>
        <v>4484</v>
      </c>
      <c r="F31" s="45">
        <f>_xlfn.COMPOUNDVALUE(1563)</f>
        <v>3216</v>
      </c>
      <c r="G31" s="45">
        <f>_xlfn.COMPOUNDVALUE(1582)</f>
        <v>869</v>
      </c>
      <c r="H31" s="49">
        <f>_xlfn.COMPOUNDVALUE(1564)</f>
        <v>267</v>
      </c>
    </row>
    <row r="32" spans="1:8" ht="15">
      <c r="A32" s="23" t="str">
        <f>_xlfn.COMPOUNDVALUE(1390)</f>
        <v>De 2003 à 2007</v>
      </c>
      <c r="B32" s="45">
        <f>_xlfn.COMPOUNDVALUE(1568)</f>
        <v>11580</v>
      </c>
      <c r="C32" s="45">
        <f>_xlfn.COMPOUNDVALUE(1565)</f>
        <v>1200</v>
      </c>
      <c r="D32" s="45">
        <f>_xlfn.COMPOUNDVALUE(1572)</f>
        <v>2533</v>
      </c>
      <c r="E32" s="45">
        <f>_xlfn.COMPOUNDVALUE(1566)</f>
        <v>4116</v>
      </c>
      <c r="F32" s="45">
        <f>_xlfn.COMPOUNDVALUE(1573)</f>
        <v>2628</v>
      </c>
      <c r="G32" s="45">
        <f>_xlfn.COMPOUNDVALUE(1567)</f>
        <v>853</v>
      </c>
      <c r="H32" s="49">
        <f>_xlfn.COMPOUNDVALUE(1574)</f>
        <v>250</v>
      </c>
    </row>
    <row r="33" spans="1:8" ht="15">
      <c r="A33" s="23" t="str">
        <f>_xlfn.COMPOUNDVALUE(1392)</f>
        <v>2008 ou après</v>
      </c>
      <c r="B33" s="45">
        <f>_xlfn.COMPOUNDVALUE(1580)</f>
        <v>9360</v>
      </c>
      <c r="C33" s="45">
        <f>_xlfn.COMPOUNDVALUE(1589)</f>
        <v>1508</v>
      </c>
      <c r="D33" s="45">
        <f>_xlfn.COMPOUNDVALUE(1569)</f>
        <v>2068</v>
      </c>
      <c r="E33" s="45">
        <f>_xlfn.COMPOUNDVALUE(1586)</f>
        <v>3074</v>
      </c>
      <c r="F33" s="45">
        <f>_xlfn.COMPOUNDVALUE(1570)</f>
        <v>1988</v>
      </c>
      <c r="G33" s="45">
        <f>_xlfn.COMPOUNDVALUE(1583)</f>
        <v>551</v>
      </c>
      <c r="H33" s="49">
        <f>_xlfn.COMPOUNDVALUE(1571)</f>
        <v>171</v>
      </c>
    </row>
    <row r="34" spans="1:8" ht="4.5" customHeight="1">
      <c r="A34" s="74" t="str">
        <f>_xlfn.COMPOUNDVALUE(517)</f>
        <v> </v>
      </c>
      <c r="B34" s="22"/>
      <c r="C34" s="22"/>
      <c r="D34" s="22"/>
      <c r="E34" s="22"/>
      <c r="F34" s="22"/>
      <c r="G34" s="22"/>
      <c r="H34" s="25"/>
    </row>
    <row r="35" spans="1:8" ht="15">
      <c r="A35" s="84" t="s">
        <v>13</v>
      </c>
      <c r="B35" s="22" t="str">
        <f>_xlfn.COMPOUNDVALUE(1434)</f>
        <v> </v>
      </c>
      <c r="C35" s="22" t="str">
        <f>_xlfn.COMPOUNDVALUE(1387)</f>
        <v> </v>
      </c>
      <c r="D35" s="22" t="str">
        <f>_xlfn.COMPOUNDVALUE(1388)</f>
        <v> </v>
      </c>
      <c r="E35" s="22" t="str">
        <f>_xlfn.COMPOUNDVALUE(1386)</f>
        <v> </v>
      </c>
      <c r="F35" s="22" t="str">
        <f>_xlfn.COMPOUNDVALUE(1384)</f>
        <v> </v>
      </c>
      <c r="G35" s="22" t="str">
        <f>_xlfn.COMPOUNDVALUE(1385)</f>
        <v> </v>
      </c>
      <c r="H35" s="25" t="str">
        <f>_xlfn.COMPOUNDVALUE(1383)</f>
        <v> </v>
      </c>
    </row>
    <row r="36" spans="1:8" ht="15">
      <c r="A36" s="23" t="str">
        <f>_xlfn.COMPOUNDVALUE(1397)</f>
        <v>Dur : parpaings, ciment</v>
      </c>
      <c r="B36" s="45">
        <f>_xlfn.COMPOUNDVALUE(1602)</f>
        <v>40664</v>
      </c>
      <c r="C36" s="45">
        <f>_xlfn.COMPOUNDVALUE(1599)</f>
        <v>2138</v>
      </c>
      <c r="D36" s="45">
        <f>_xlfn.COMPOUNDVALUE(1598)</f>
        <v>6482</v>
      </c>
      <c r="E36" s="45">
        <f>_xlfn.COMPOUNDVALUE(1600)</f>
        <v>13956</v>
      </c>
      <c r="F36" s="45">
        <f>_xlfn.COMPOUNDVALUE(1597)</f>
        <v>11930</v>
      </c>
      <c r="G36" s="45">
        <f>_xlfn.COMPOUNDVALUE(1601)</f>
        <v>4444</v>
      </c>
      <c r="H36" s="49">
        <f>_xlfn.COMPOUNDVALUE(1596)</f>
        <v>1714</v>
      </c>
    </row>
    <row r="37" spans="1:8" ht="15">
      <c r="A37" s="23" t="str">
        <f>_xlfn.COMPOUNDVALUE(1399)</f>
        <v>Bois, contre-plaqué, pinex, fibro</v>
      </c>
      <c r="B37" s="45">
        <f>_xlfn.COMPOUNDVALUE(1631)</f>
        <v>30700</v>
      </c>
      <c r="C37" s="45">
        <f>_xlfn.COMPOUNDVALUE(1628)</f>
        <v>3347</v>
      </c>
      <c r="D37" s="45">
        <f>_xlfn.COMPOUNDVALUE(1603)</f>
        <v>6372</v>
      </c>
      <c r="E37" s="45">
        <f>_xlfn.COMPOUNDVALUE(1629)</f>
        <v>11505</v>
      </c>
      <c r="F37" s="45">
        <f>_xlfn.COMPOUNDVALUE(1604)</f>
        <v>6656</v>
      </c>
      <c r="G37" s="45">
        <f>_xlfn.COMPOUNDVALUE(1630)</f>
        <v>2053</v>
      </c>
      <c r="H37" s="49">
        <f>_xlfn.COMPOUNDVALUE(1605)</f>
        <v>767</v>
      </c>
    </row>
    <row r="38" spans="1:8" ht="15">
      <c r="A38" s="23" t="str">
        <f>_xlfn.COMPOUNDVALUE(1396)</f>
        <v>Bardeaux, bambou, autres végétaux</v>
      </c>
      <c r="B38" s="45">
        <f>_xlfn.COMPOUNDVALUE(1609)</f>
        <v>210</v>
      </c>
      <c r="C38" s="45">
        <f>_xlfn.COMPOUNDVALUE(1606)</f>
        <v>72</v>
      </c>
      <c r="D38" s="45">
        <f>_xlfn.COMPOUNDVALUE(1595)</f>
        <v>47</v>
      </c>
      <c r="E38" s="45">
        <f>_xlfn.COMPOUNDVALUE(1607)</f>
        <v>55</v>
      </c>
      <c r="F38" s="45">
        <f>_xlfn.COMPOUNDVALUE(1594)</f>
        <v>27</v>
      </c>
      <c r="G38" s="45">
        <f>_xlfn.COMPOUNDVALUE(1608)</f>
        <v>9</v>
      </c>
      <c r="H38" s="49">
        <f>_xlfn.COMPOUNDVALUE(1593)</f>
      </c>
    </row>
    <row r="39" spans="1:8" ht="15">
      <c r="A39" s="23" t="str">
        <f>_xlfn.COMPOUNDVALUE(1398)</f>
        <v>Tôle</v>
      </c>
      <c r="B39" s="45">
        <f>_xlfn.COMPOUNDVALUE(1627)</f>
        <v>482</v>
      </c>
      <c r="C39" s="45">
        <f>_xlfn.COMPOUNDVALUE(1624)</f>
        <v>271</v>
      </c>
      <c r="D39" s="45">
        <f>_xlfn.COMPOUNDVALUE(1610)</f>
        <v>89</v>
      </c>
      <c r="E39" s="45">
        <f>_xlfn.COMPOUNDVALUE(1625)</f>
        <v>90</v>
      </c>
      <c r="F39" s="45">
        <f>_xlfn.COMPOUNDVALUE(1611)</f>
        <v>22</v>
      </c>
      <c r="G39" s="45">
        <f>_xlfn.COMPOUNDVALUE(1626)</f>
        <v>4</v>
      </c>
      <c r="H39" s="49">
        <f>_xlfn.COMPOUNDVALUE(1612)</f>
        <v>6</v>
      </c>
    </row>
    <row r="40" spans="1:8" ht="15">
      <c r="A40" s="23" t="str">
        <f>_xlfn.COMPOUNDVALUE(1395)</f>
        <v>Chaux, corail</v>
      </c>
      <c r="B40" s="45">
        <f>_xlfn.COMPOUNDVALUE(1616)</f>
        <v>147</v>
      </c>
      <c r="C40" s="45">
        <f>_xlfn.COMPOUNDVALUE(1613)</f>
        <v>16</v>
      </c>
      <c r="D40" s="45">
        <f>_xlfn.COMPOUNDVALUE(1592)</f>
        <v>32</v>
      </c>
      <c r="E40" s="45">
        <f>_xlfn.COMPOUNDVALUE(1614)</f>
        <v>46</v>
      </c>
      <c r="F40" s="45">
        <f>_xlfn.COMPOUNDVALUE(1591)</f>
        <v>34</v>
      </c>
      <c r="G40" s="45">
        <f>_xlfn.COMPOUNDVALUE(1615)</f>
        <v>11</v>
      </c>
      <c r="H40" s="49">
        <f>_xlfn.COMPOUNDVALUE(1590)</f>
        <v>8</v>
      </c>
    </row>
    <row r="41" spans="1:8" ht="15">
      <c r="A41" s="23" t="str">
        <f>_xlfn.COMPOUNDVALUE(1394)</f>
        <v>Autre</v>
      </c>
      <c r="B41" s="45">
        <f>_xlfn.COMPOUNDVALUE(1623)</f>
        <v>505</v>
      </c>
      <c r="C41" s="45">
        <f>_xlfn.COMPOUNDVALUE(1620)</f>
        <v>68</v>
      </c>
      <c r="D41" s="45">
        <f>_xlfn.COMPOUNDVALUE(1617)</f>
        <v>92</v>
      </c>
      <c r="E41" s="45">
        <f>_xlfn.COMPOUNDVALUE(1621)</f>
        <v>169</v>
      </c>
      <c r="F41" s="45">
        <f>_xlfn.COMPOUNDVALUE(1618)</f>
        <v>124</v>
      </c>
      <c r="G41" s="45">
        <f>_xlfn.COMPOUNDVALUE(1622)</f>
        <v>40</v>
      </c>
      <c r="H41" s="49">
        <f>_xlfn.COMPOUNDVALUE(1619)</f>
        <v>12</v>
      </c>
    </row>
    <row r="42" spans="1:8" ht="4.5" customHeight="1">
      <c r="A42" s="74" t="str">
        <f>_xlfn.COMPOUNDVALUE(517)</f>
        <v> </v>
      </c>
      <c r="B42" s="22"/>
      <c r="C42" s="22"/>
      <c r="D42" s="22"/>
      <c r="E42" s="22"/>
      <c r="F42" s="22"/>
      <c r="G42" s="22"/>
      <c r="H42" s="25"/>
    </row>
    <row r="43" spans="1:8" ht="15">
      <c r="A43" s="84" t="s">
        <v>44</v>
      </c>
      <c r="B43" s="22" t="str">
        <f>_xlfn.COMPOUNDVALUE(1434)</f>
        <v> </v>
      </c>
      <c r="C43" s="22" t="str">
        <f>_xlfn.COMPOUNDVALUE(1387)</f>
        <v> </v>
      </c>
      <c r="D43" s="22" t="str">
        <f>_xlfn.COMPOUNDVALUE(1388)</f>
        <v> </v>
      </c>
      <c r="E43" s="22" t="str">
        <f>_xlfn.COMPOUNDVALUE(1386)</f>
        <v> </v>
      </c>
      <c r="F43" s="22" t="str">
        <f>_xlfn.COMPOUNDVALUE(1384)</f>
        <v> </v>
      </c>
      <c r="G43" s="22" t="str">
        <f>_xlfn.COMPOUNDVALUE(1385)</f>
        <v> </v>
      </c>
      <c r="H43" s="25" t="str">
        <f>_xlfn.COMPOUNDVALUE(1383)</f>
        <v> </v>
      </c>
    </row>
    <row r="44" spans="1:8" ht="15">
      <c r="A44" s="23" t="str">
        <f>_xlfn.COMPOUNDVALUE(1404)</f>
        <v>Tôle</v>
      </c>
      <c r="B44" s="45">
        <f>_xlfn.COMPOUNDVALUE(1644)</f>
        <v>67597</v>
      </c>
      <c r="C44" s="45">
        <f>_xlfn.COMPOUNDVALUE(1641)</f>
        <v>5181</v>
      </c>
      <c r="D44" s="45">
        <f>_xlfn.COMPOUNDVALUE(1640)</f>
        <v>11775</v>
      </c>
      <c r="E44" s="45">
        <f>_xlfn.COMPOUNDVALUE(1642)</f>
        <v>24291</v>
      </c>
      <c r="F44" s="45">
        <f>_xlfn.COMPOUNDVALUE(1639)</f>
        <v>17783</v>
      </c>
      <c r="G44" s="45">
        <f>_xlfn.COMPOUNDVALUE(1643)</f>
        <v>6223</v>
      </c>
      <c r="H44" s="49">
        <f>_xlfn.COMPOUNDVALUE(1638)</f>
        <v>2344</v>
      </c>
    </row>
    <row r="45" spans="1:8" ht="15">
      <c r="A45" s="23" t="str">
        <f>_xlfn.COMPOUNDVALUE(1401)</f>
        <v>Tuile, bardeaux</v>
      </c>
      <c r="B45" s="45">
        <f>_xlfn.COMPOUNDVALUE(1673)</f>
        <v>1996</v>
      </c>
      <c r="C45" s="45">
        <f>_xlfn.COMPOUNDVALUE(1670)</f>
        <v>143</v>
      </c>
      <c r="D45" s="45">
        <f>_xlfn.COMPOUNDVALUE(1645)</f>
        <v>353</v>
      </c>
      <c r="E45" s="45">
        <f>_xlfn.COMPOUNDVALUE(1671)</f>
        <v>657</v>
      </c>
      <c r="F45" s="45">
        <f>_xlfn.COMPOUNDVALUE(1646)</f>
        <v>555</v>
      </c>
      <c r="G45" s="45">
        <f>_xlfn.COMPOUNDVALUE(1672)</f>
        <v>210</v>
      </c>
      <c r="H45" s="49">
        <f>_xlfn.COMPOUNDVALUE(1647)</f>
        <v>78</v>
      </c>
    </row>
    <row r="46" spans="1:8" ht="15">
      <c r="A46" s="23" t="str">
        <f>_xlfn.COMPOUNDVALUE(1403)</f>
        <v>Béton</v>
      </c>
      <c r="B46" s="45">
        <f>_xlfn.COMPOUNDVALUE(1651)</f>
        <v>2431</v>
      </c>
      <c r="C46" s="45">
        <f>_xlfn.COMPOUNDVALUE(1648)</f>
        <v>443</v>
      </c>
      <c r="D46" s="45">
        <f>_xlfn.COMPOUNDVALUE(1637)</f>
        <v>817</v>
      </c>
      <c r="E46" s="45">
        <f>_xlfn.COMPOUNDVALUE(1649)</f>
        <v>671</v>
      </c>
      <c r="F46" s="45">
        <f>_xlfn.COMPOUNDVALUE(1636)</f>
        <v>347</v>
      </c>
      <c r="G46" s="45">
        <f>_xlfn.COMPOUNDVALUE(1650)</f>
        <v>89</v>
      </c>
      <c r="H46" s="49">
        <f>_xlfn.COMPOUNDVALUE(1635)</f>
        <v>64</v>
      </c>
    </row>
    <row r="47" spans="1:8" ht="15">
      <c r="A47" s="23" t="str">
        <f>_xlfn.COMPOUNDVALUE(1405)</f>
        <v>Pandanus, palmes et autres végétaux</v>
      </c>
      <c r="B47" s="45">
        <f>_xlfn.COMPOUNDVALUE(1669)</f>
        <v>280</v>
      </c>
      <c r="C47" s="45">
        <f>_xlfn.COMPOUNDVALUE(1666)</f>
        <v>80</v>
      </c>
      <c r="D47" s="45">
        <f>_xlfn.COMPOUNDVALUE(1652)</f>
        <v>93</v>
      </c>
      <c r="E47" s="45">
        <f>_xlfn.COMPOUNDVALUE(1667)</f>
        <v>65</v>
      </c>
      <c r="F47" s="45">
        <f>_xlfn.COMPOUNDVALUE(1653)</f>
        <v>23</v>
      </c>
      <c r="G47" s="45">
        <f>_xlfn.COMPOUNDVALUE(1668)</f>
        <v>10</v>
      </c>
      <c r="H47" s="49">
        <f>_xlfn.COMPOUNDVALUE(1654)</f>
        <v>9</v>
      </c>
    </row>
    <row r="48" spans="1:8" ht="15">
      <c r="A48" s="23" t="str">
        <f>_xlfn.COMPOUNDVALUE(1402)</f>
        <v>Synthétique imitation végétal</v>
      </c>
      <c r="B48" s="45">
        <f>_xlfn.COMPOUNDVALUE(1658)</f>
        <v>56</v>
      </c>
      <c r="C48" s="45">
        <f>_xlfn.COMPOUNDVALUE(1655)</f>
        <v>8</v>
      </c>
      <c r="D48" s="45">
        <f>_xlfn.COMPOUNDVALUE(1634)</f>
        <v>10</v>
      </c>
      <c r="E48" s="45">
        <f>_xlfn.COMPOUNDVALUE(1656)</f>
        <v>18</v>
      </c>
      <c r="F48" s="45">
        <f>_xlfn.COMPOUNDVALUE(1633)</f>
        <v>15</v>
      </c>
      <c r="G48" s="45">
        <f>_xlfn.COMPOUNDVALUE(1657)</f>
        <v>2</v>
      </c>
      <c r="H48" s="49">
        <f>_xlfn.COMPOUNDVALUE(1632)</f>
        <v>3</v>
      </c>
    </row>
    <row r="49" spans="1:8" ht="15">
      <c r="A49" s="23" t="str">
        <f>_xlfn.COMPOUNDVALUE(1400)</f>
        <v>Autres1</v>
      </c>
      <c r="B49" s="45">
        <f>_xlfn.COMPOUNDVALUE(1665)</f>
        <v>348</v>
      </c>
      <c r="C49" s="45">
        <f>_xlfn.COMPOUNDVALUE(1662)</f>
        <v>57</v>
      </c>
      <c r="D49" s="45">
        <f>_xlfn.COMPOUNDVALUE(1659)</f>
        <v>66</v>
      </c>
      <c r="E49" s="45">
        <f>_xlfn.COMPOUNDVALUE(1663)</f>
        <v>119</v>
      </c>
      <c r="F49" s="45">
        <f>_xlfn.COMPOUNDVALUE(1660)</f>
        <v>70</v>
      </c>
      <c r="G49" s="45">
        <f>_xlfn.COMPOUNDVALUE(1664)</f>
        <v>27</v>
      </c>
      <c r="H49" s="49">
        <f>_xlfn.COMPOUNDVALUE(1661)</f>
        <v>9</v>
      </c>
    </row>
    <row r="50" spans="1:8" ht="4.5" customHeight="1">
      <c r="A50" s="74" t="str">
        <f>_xlfn.COMPOUNDVALUE(517)</f>
        <v> </v>
      </c>
      <c r="B50" s="22"/>
      <c r="C50" s="22"/>
      <c r="D50" s="22"/>
      <c r="E50" s="22"/>
      <c r="F50" s="22"/>
      <c r="G50" s="22"/>
      <c r="H50" s="25"/>
    </row>
    <row r="51" spans="1:8" ht="15">
      <c r="A51" s="84" t="s">
        <v>15</v>
      </c>
      <c r="B51" s="22" t="str">
        <f>_xlfn.COMPOUNDVALUE(1434)</f>
        <v> </v>
      </c>
      <c r="C51" s="22" t="str">
        <f>_xlfn.COMPOUNDVALUE(1387)</f>
        <v> </v>
      </c>
      <c r="D51" s="22" t="str">
        <f>_xlfn.COMPOUNDVALUE(1388)</f>
        <v> </v>
      </c>
      <c r="E51" s="22" t="str">
        <f>_xlfn.COMPOUNDVALUE(1386)</f>
        <v> </v>
      </c>
      <c r="F51" s="22" t="str">
        <f>_xlfn.COMPOUNDVALUE(1384)</f>
        <v> </v>
      </c>
      <c r="G51" s="22" t="str">
        <f>_xlfn.COMPOUNDVALUE(1385)</f>
        <v> </v>
      </c>
      <c r="H51" s="25" t="str">
        <f>_xlfn.COMPOUNDVALUE(1383)</f>
        <v> </v>
      </c>
    </row>
    <row r="52" spans="1:8" ht="15">
      <c r="A52" s="23" t="str">
        <f>_xlfn.COMPOUNDVALUE(1410)</f>
        <v>Béton</v>
      </c>
      <c r="B52" s="45">
        <f>_xlfn.COMPOUNDVALUE(1697)</f>
        <v>56847</v>
      </c>
      <c r="C52" s="45">
        <f>_xlfn.COMPOUNDVALUE(1706)</f>
        <v>3928</v>
      </c>
      <c r="D52" s="45">
        <f>_xlfn.COMPOUNDVALUE(1674)</f>
        <v>10060</v>
      </c>
      <c r="E52" s="45">
        <f>_xlfn.COMPOUNDVALUE(1703)</f>
        <v>19850</v>
      </c>
      <c r="F52" s="45">
        <f>_xlfn.COMPOUNDVALUE(1675)</f>
        <v>15259</v>
      </c>
      <c r="G52" s="45">
        <f>_xlfn.COMPOUNDVALUE(1700)</f>
        <v>5510</v>
      </c>
      <c r="H52" s="49">
        <f>_xlfn.COMPOUNDVALUE(1676)</f>
        <v>2240</v>
      </c>
    </row>
    <row r="53" spans="1:8" ht="15">
      <c r="A53" s="23" t="str">
        <f>_xlfn.COMPOUNDVALUE(1407)</f>
        <v>Bois, planches</v>
      </c>
      <c r="B53" s="45">
        <f>_xlfn.COMPOUNDVALUE(1680)</f>
        <v>14901</v>
      </c>
      <c r="C53" s="45">
        <f>_xlfn.COMPOUNDVALUE(1677)</f>
        <v>1651</v>
      </c>
      <c r="D53" s="45">
        <f>_xlfn.COMPOUNDVALUE(1694)</f>
        <v>2868</v>
      </c>
      <c r="E53" s="45">
        <f>_xlfn.COMPOUNDVALUE(1678)</f>
        <v>5730</v>
      </c>
      <c r="F53" s="45">
        <f>_xlfn.COMPOUNDVALUE(1695)</f>
        <v>3395</v>
      </c>
      <c r="G53" s="45">
        <f>_xlfn.COMPOUNDVALUE(1679)</f>
        <v>1006</v>
      </c>
      <c r="H53" s="49">
        <f>_xlfn.COMPOUNDVALUE(1696)</f>
        <v>251</v>
      </c>
    </row>
    <row r="54" spans="1:8" ht="15">
      <c r="A54" s="23" t="str">
        <f>_xlfn.COMPOUNDVALUE(1409)</f>
        <v>Chaux</v>
      </c>
      <c r="B54" s="45">
        <f>_xlfn.COMPOUNDVALUE(1698)</f>
        <v>131</v>
      </c>
      <c r="C54" s="45">
        <f>_xlfn.COMPOUNDVALUE(1707)</f>
        <v>15</v>
      </c>
      <c r="D54" s="45">
        <f>_xlfn.COMPOUNDVALUE(1681)</f>
        <v>25</v>
      </c>
      <c r="E54" s="45">
        <f>_xlfn.COMPOUNDVALUE(1704)</f>
        <v>41</v>
      </c>
      <c r="F54" s="45">
        <f>_xlfn.COMPOUNDVALUE(1682)</f>
        <v>32</v>
      </c>
      <c r="G54" s="45">
        <f>_xlfn.COMPOUNDVALUE(1701)</f>
        <v>10</v>
      </c>
      <c r="H54" s="49">
        <f>_xlfn.COMPOUNDVALUE(1683)</f>
        <v>8</v>
      </c>
    </row>
    <row r="55" spans="1:8" ht="15">
      <c r="A55" s="23" t="str">
        <f>_xlfn.COMPOUNDVALUE(1406)</f>
        <v>Terre battue, sable, corail</v>
      </c>
      <c r="B55" s="45">
        <f>_xlfn.COMPOUNDVALUE(1687)</f>
        <v>475</v>
      </c>
      <c r="C55" s="45">
        <f>_xlfn.COMPOUNDVALUE(1684)</f>
        <v>274</v>
      </c>
      <c r="D55" s="45">
        <f>_xlfn.COMPOUNDVALUE(1691)</f>
        <v>97</v>
      </c>
      <c r="E55" s="45">
        <f>_xlfn.COMPOUNDVALUE(1685)</f>
        <v>74</v>
      </c>
      <c r="F55" s="45">
        <f>_xlfn.COMPOUNDVALUE(1692)</f>
        <v>23</v>
      </c>
      <c r="G55" s="45">
        <f>_xlfn.COMPOUNDVALUE(1686)</f>
        <v>3</v>
      </c>
      <c r="H55" s="49">
        <f>_xlfn.COMPOUNDVALUE(1693)</f>
        <v>4</v>
      </c>
    </row>
    <row r="56" spans="1:8" ht="15">
      <c r="A56" s="23" t="str">
        <f>_xlfn.COMPOUNDVALUE(1408)</f>
        <v>Autre</v>
      </c>
      <c r="B56" s="45">
        <f>_xlfn.COMPOUNDVALUE(1699)</f>
        <v>354</v>
      </c>
      <c r="C56" s="45">
        <f>_xlfn.COMPOUNDVALUE(1708)</f>
        <v>44</v>
      </c>
      <c r="D56" s="45">
        <f>_xlfn.COMPOUNDVALUE(1688)</f>
        <v>64</v>
      </c>
      <c r="E56" s="45">
        <f>_xlfn.COMPOUNDVALUE(1705)</f>
        <v>126</v>
      </c>
      <c r="F56" s="45">
        <f>_xlfn.COMPOUNDVALUE(1689)</f>
        <v>84</v>
      </c>
      <c r="G56" s="45">
        <f>_xlfn.COMPOUNDVALUE(1702)</f>
        <v>32</v>
      </c>
      <c r="H56" s="49">
        <f>_xlfn.COMPOUNDVALUE(1690)</f>
        <v>4</v>
      </c>
    </row>
    <row r="57" spans="1:8" ht="4.5" customHeight="1">
      <c r="A57" s="74" t="str">
        <f>_xlfn.COMPOUNDVALUE(517)</f>
        <v> </v>
      </c>
      <c r="B57" s="22"/>
      <c r="C57" s="22"/>
      <c r="D57" s="22"/>
      <c r="E57" s="22"/>
      <c r="F57" s="22"/>
      <c r="G57" s="22"/>
      <c r="H57" s="25"/>
    </row>
    <row r="58" spans="1:8" ht="15">
      <c r="A58" s="84" t="s">
        <v>16</v>
      </c>
      <c r="B58" s="22" t="str">
        <f>_xlfn.COMPOUNDVALUE(1434)</f>
        <v> </v>
      </c>
      <c r="C58" s="22" t="str">
        <f>_xlfn.COMPOUNDVALUE(1387)</f>
        <v> </v>
      </c>
      <c r="D58" s="22" t="str">
        <f>_xlfn.COMPOUNDVALUE(1388)</f>
        <v> </v>
      </c>
      <c r="E58" s="22" t="str">
        <f>_xlfn.COMPOUNDVALUE(1386)</f>
        <v> </v>
      </c>
      <c r="F58" s="22" t="str">
        <f>_xlfn.COMPOUNDVALUE(1384)</f>
        <v> </v>
      </c>
      <c r="G58" s="22" t="str">
        <f>_xlfn.COMPOUNDVALUE(1385)</f>
        <v> </v>
      </c>
      <c r="H58" s="25" t="str">
        <f>_xlfn.COMPOUNDVALUE(1383)</f>
        <v> </v>
      </c>
    </row>
    <row r="59" spans="1:8" ht="15">
      <c r="A59" s="23" t="str">
        <f>_xlfn.COMPOUNDVALUE(1411)</f>
        <v>Une cuisine intérieure au moins</v>
      </c>
      <c r="B59" s="45">
        <f>_xlfn.COMPOUNDVALUE(1722)</f>
        <v>68193</v>
      </c>
      <c r="C59" s="45">
        <f>_xlfn.COMPOUNDVALUE(1728)</f>
        <v>4804</v>
      </c>
      <c r="D59" s="45">
        <f>_xlfn.COMPOUNDVALUE(1709)</f>
        <v>12312</v>
      </c>
      <c r="E59" s="45">
        <f>_xlfn.COMPOUNDVALUE(1726)</f>
        <v>24562</v>
      </c>
      <c r="F59" s="45">
        <f>_xlfn.COMPOUNDVALUE(1710)</f>
        <v>17938</v>
      </c>
      <c r="G59" s="45">
        <f>_xlfn.COMPOUNDVALUE(1724)</f>
        <v>6205</v>
      </c>
      <c r="H59" s="49">
        <f>_xlfn.COMPOUNDVALUE(1711)</f>
        <v>2372</v>
      </c>
    </row>
    <row r="60" spans="1:8" ht="15">
      <c r="A60" s="23" t="str">
        <f>_xlfn.COMPOUNDVALUE(1412)</f>
        <v>Cuisine(s) extérieure(s)</v>
      </c>
      <c r="B60" s="45">
        <f>_xlfn.COMPOUNDVALUE(1715)</f>
        <v>3742</v>
      </c>
      <c r="C60" s="45">
        <f>_xlfn.COMPOUNDVALUE(1712)</f>
        <v>650</v>
      </c>
      <c r="D60" s="45">
        <f>_xlfn.COMPOUNDVALUE(1719)</f>
        <v>668</v>
      </c>
      <c r="E60" s="45">
        <f>_xlfn.COMPOUNDVALUE(1713)</f>
        <v>1136</v>
      </c>
      <c r="F60" s="45">
        <f>_xlfn.COMPOUNDVALUE(1720)</f>
        <v>807</v>
      </c>
      <c r="G60" s="45">
        <f>_xlfn.COMPOUNDVALUE(1714)</f>
        <v>348</v>
      </c>
      <c r="H60" s="49">
        <f>_xlfn.COMPOUNDVALUE(1721)</f>
        <v>133</v>
      </c>
    </row>
    <row r="61" spans="1:8" ht="15">
      <c r="A61" s="23" t="str">
        <f>_xlfn.COMPOUNDVALUE(1413)</f>
        <v>Pas de cuisine</v>
      </c>
      <c r="B61" s="45">
        <f>_xlfn.COMPOUNDVALUE(1723)</f>
        <v>773</v>
      </c>
      <c r="C61" s="45">
        <f>_xlfn.COMPOUNDVALUE(1729)</f>
        <v>458</v>
      </c>
      <c r="D61" s="45">
        <f>_xlfn.COMPOUNDVALUE(1716)</f>
        <v>134</v>
      </c>
      <c r="E61" s="45">
        <f>_xlfn.COMPOUNDVALUE(1727)</f>
        <v>123</v>
      </c>
      <c r="F61" s="45">
        <f>_xlfn.COMPOUNDVALUE(1717)</f>
        <v>48</v>
      </c>
      <c r="G61" s="45">
        <f>_xlfn.COMPOUNDVALUE(1725)</f>
        <v>8</v>
      </c>
      <c r="H61" s="49">
        <f>_xlfn.COMPOUNDVALUE(1718)</f>
        <v>2</v>
      </c>
    </row>
    <row r="62" spans="1:8" ht="15">
      <c r="A62" s="84" t="s">
        <v>17</v>
      </c>
      <c r="B62" s="22"/>
      <c r="C62" s="22"/>
      <c r="D62" s="22"/>
      <c r="E62" s="22"/>
      <c r="F62" s="22"/>
      <c r="G62" s="22"/>
      <c r="H62" s="25"/>
    </row>
    <row r="63" spans="1:8" ht="15">
      <c r="A63" s="56" t="s">
        <v>18</v>
      </c>
      <c r="B63" s="75">
        <v>70180</v>
      </c>
      <c r="C63" s="75">
        <v>5102</v>
      </c>
      <c r="D63" s="75">
        <v>12633</v>
      </c>
      <c r="E63" s="75">
        <v>25113</v>
      </c>
      <c r="F63" s="75">
        <v>18448</v>
      </c>
      <c r="G63" s="75">
        <v>6430</v>
      </c>
      <c r="H63" s="82">
        <v>2454</v>
      </c>
    </row>
    <row r="64" spans="1:8" ht="15">
      <c r="A64" s="56" t="s">
        <v>19</v>
      </c>
      <c r="B64" s="75">
        <v>1349</v>
      </c>
      <c r="C64" s="75">
        <v>242</v>
      </c>
      <c r="D64" s="75">
        <v>230</v>
      </c>
      <c r="E64" s="75">
        <v>439</v>
      </c>
      <c r="F64" s="75">
        <v>280</v>
      </c>
      <c r="G64" s="75">
        <v>113</v>
      </c>
      <c r="H64" s="82">
        <v>45</v>
      </c>
    </row>
    <row r="65" spans="1:8" ht="15">
      <c r="A65" s="56" t="s">
        <v>20</v>
      </c>
      <c r="B65" s="75">
        <v>949</v>
      </c>
      <c r="C65" s="75">
        <v>428</v>
      </c>
      <c r="D65" s="75">
        <v>217</v>
      </c>
      <c r="E65" s="75">
        <v>225</v>
      </c>
      <c r="F65" s="75">
        <v>57</v>
      </c>
      <c r="G65" s="75">
        <v>15</v>
      </c>
      <c r="H65" s="82">
        <v>7</v>
      </c>
    </row>
    <row r="66" spans="1:8" ht="15">
      <c r="A66" s="56" t="s">
        <v>21</v>
      </c>
      <c r="B66" s="75">
        <v>230</v>
      </c>
      <c r="C66" s="75">
        <v>140</v>
      </c>
      <c r="D66" s="75">
        <v>34</v>
      </c>
      <c r="E66" s="75">
        <v>44</v>
      </c>
      <c r="F66" s="75">
        <v>8</v>
      </c>
      <c r="G66" s="75">
        <v>3</v>
      </c>
      <c r="H66" s="82">
        <v>1</v>
      </c>
    </row>
    <row r="67" spans="1:8" ht="15">
      <c r="A67" s="74" t="s">
        <v>22</v>
      </c>
      <c r="B67" s="22"/>
      <c r="C67" s="22"/>
      <c r="D67" s="22"/>
      <c r="E67" s="22"/>
      <c r="F67" s="22"/>
      <c r="G67" s="22"/>
      <c r="H67" s="25"/>
    </row>
    <row r="68" spans="1:8" ht="15">
      <c r="A68" s="56" t="s">
        <v>23</v>
      </c>
      <c r="B68" s="75">
        <v>66916</v>
      </c>
      <c r="C68" s="75">
        <v>4185</v>
      </c>
      <c r="D68" s="75">
        <v>11733</v>
      </c>
      <c r="E68" s="75">
        <v>24188</v>
      </c>
      <c r="F68" s="75">
        <v>18096</v>
      </c>
      <c r="G68" s="75">
        <v>6316</v>
      </c>
      <c r="H68" s="82">
        <v>2398</v>
      </c>
    </row>
    <row r="69" spans="1:8" ht="15">
      <c r="A69" s="56" t="s">
        <v>24</v>
      </c>
      <c r="B69" s="75">
        <v>580</v>
      </c>
      <c r="C69" s="75">
        <v>139</v>
      </c>
      <c r="D69" s="75">
        <v>143</v>
      </c>
      <c r="E69" s="75">
        <v>168</v>
      </c>
      <c r="F69" s="75">
        <v>87</v>
      </c>
      <c r="G69" s="75">
        <v>29</v>
      </c>
      <c r="H69" s="82">
        <v>14</v>
      </c>
    </row>
    <row r="70" spans="1:8" ht="15">
      <c r="A70" s="56" t="s">
        <v>25</v>
      </c>
      <c r="B70" s="75">
        <v>1109</v>
      </c>
      <c r="C70" s="75">
        <v>165</v>
      </c>
      <c r="D70" s="75">
        <v>270</v>
      </c>
      <c r="E70" s="75">
        <v>394</v>
      </c>
      <c r="F70" s="75">
        <v>202</v>
      </c>
      <c r="G70" s="75">
        <v>56</v>
      </c>
      <c r="H70" s="82">
        <v>22</v>
      </c>
    </row>
    <row r="71" spans="1:8" ht="15">
      <c r="A71" s="56" t="s">
        <v>26</v>
      </c>
      <c r="B71" s="75">
        <v>4103</v>
      </c>
      <c r="C71" s="75">
        <v>1423</v>
      </c>
      <c r="D71" s="75">
        <v>968</v>
      </c>
      <c r="E71" s="75">
        <v>1071</v>
      </c>
      <c r="F71" s="75">
        <v>408</v>
      </c>
      <c r="G71" s="75">
        <v>160</v>
      </c>
      <c r="H71" s="82">
        <v>73</v>
      </c>
    </row>
    <row r="72" spans="1:8" ht="0.75" customHeight="1">
      <c r="A72" s="74" t="str">
        <f>_xlfn.COMPOUNDVALUE(517)</f>
        <v> </v>
      </c>
      <c r="B72" s="22"/>
      <c r="C72" s="22"/>
      <c r="D72" s="22"/>
      <c r="E72" s="22"/>
      <c r="F72" s="22"/>
      <c r="G72" s="22"/>
      <c r="H72" s="25"/>
    </row>
    <row r="73" spans="1:8" ht="15">
      <c r="A73" s="74" t="s">
        <v>27</v>
      </c>
      <c r="B73" s="22" t="str">
        <f>_xlfn.COMPOUNDVALUE(1434)</f>
        <v> </v>
      </c>
      <c r="C73" s="22" t="str">
        <f>_xlfn.COMPOUNDVALUE(1387)</f>
        <v> </v>
      </c>
      <c r="D73" s="22" t="str">
        <f>_xlfn.COMPOUNDVALUE(1388)</f>
        <v> </v>
      </c>
      <c r="E73" s="22" t="str">
        <f>_xlfn.COMPOUNDVALUE(1386)</f>
        <v> </v>
      </c>
      <c r="F73" s="22" t="str">
        <f>_xlfn.COMPOUNDVALUE(1384)</f>
        <v> </v>
      </c>
      <c r="G73" s="22" t="str">
        <f>_xlfn.COMPOUNDVALUE(1385)</f>
        <v> </v>
      </c>
      <c r="H73" s="25" t="str">
        <f>_xlfn.COMPOUNDVALUE(1383)</f>
        <v> </v>
      </c>
    </row>
    <row r="74" spans="1:8" ht="15">
      <c r="A74" s="23" t="str">
        <f>_xlfn.COMPOUNDVALUE(1416)</f>
        <v>Réseau général</v>
      </c>
      <c r="B74" s="45">
        <f>_xlfn.COMPOUNDVALUE(1742)</f>
        <v>69578</v>
      </c>
      <c r="C74" s="45">
        <f>_xlfn.COMPOUNDVALUE(1739)</f>
        <v>4900</v>
      </c>
      <c r="D74" s="45">
        <f>_xlfn.COMPOUNDVALUE(1738)</f>
        <v>12338</v>
      </c>
      <c r="E74" s="45">
        <f>_xlfn.COMPOUNDVALUE(1740)</f>
        <v>24959</v>
      </c>
      <c r="F74" s="45">
        <f>_xlfn.COMPOUNDVALUE(1737)</f>
        <v>18463</v>
      </c>
      <c r="G74" s="45">
        <f>_xlfn.COMPOUNDVALUE(1741)</f>
        <v>6461</v>
      </c>
      <c r="H74" s="49">
        <f>_xlfn.COMPOUNDVALUE(1736)</f>
        <v>2457</v>
      </c>
    </row>
    <row r="75" spans="1:8" ht="15">
      <c r="A75" s="23" t="str">
        <f>_xlfn.COMPOUNDVALUE(1420)</f>
        <v>Groupe électrogène</v>
      </c>
      <c r="B75" s="45">
        <f>_xlfn.COMPOUNDVALUE(1771)</f>
        <v>894</v>
      </c>
      <c r="C75" s="45">
        <f>_xlfn.COMPOUNDVALUE(1768)</f>
        <v>253</v>
      </c>
      <c r="D75" s="45">
        <f>_xlfn.COMPOUNDVALUE(1743)</f>
        <v>236</v>
      </c>
      <c r="E75" s="45">
        <f>_xlfn.COMPOUNDVALUE(1769)</f>
        <v>258</v>
      </c>
      <c r="F75" s="45">
        <f>_xlfn.COMPOUNDVALUE(1744)</f>
        <v>91</v>
      </c>
      <c r="G75" s="45">
        <f>_xlfn.COMPOUNDVALUE(1770)</f>
        <v>33</v>
      </c>
      <c r="H75" s="49">
        <f>_xlfn.COMPOUNDVALUE(1745)</f>
        <v>23</v>
      </c>
    </row>
    <row r="76" spans="1:8" ht="15">
      <c r="A76" s="23" t="str">
        <f>_xlfn.COMPOUNDVALUE(1421)</f>
        <v>Panneaux solaires</v>
      </c>
      <c r="B76" s="45">
        <f>_xlfn.COMPOUNDVALUE(1749)</f>
        <v>972</v>
      </c>
      <c r="C76" s="45">
        <f>_xlfn.COMPOUNDVALUE(1746)</f>
        <v>155</v>
      </c>
      <c r="D76" s="45">
        <f>_xlfn.COMPOUNDVALUE(1735)</f>
        <v>266</v>
      </c>
      <c r="E76" s="45">
        <f>_xlfn.COMPOUNDVALUE(1747)</f>
        <v>320</v>
      </c>
      <c r="F76" s="45">
        <f>_xlfn.COMPOUNDVALUE(1734)</f>
        <v>164</v>
      </c>
      <c r="G76" s="45">
        <f>_xlfn.COMPOUNDVALUE(1748)</f>
        <v>48</v>
      </c>
      <c r="H76" s="49">
        <f>_xlfn.COMPOUNDVALUE(1733)</f>
        <v>19</v>
      </c>
    </row>
    <row r="77" spans="1:8" ht="15">
      <c r="A77" s="23" t="str">
        <f>_xlfn.COMPOUNDVALUE(1419)</f>
        <v>Eolienne</v>
      </c>
      <c r="B77" s="45">
        <f>_xlfn.COMPOUNDVALUE(1767)</f>
        <v>17</v>
      </c>
      <c r="C77" s="45">
        <f>_xlfn.COMPOUNDVALUE(1764)</f>
        <v>4</v>
      </c>
      <c r="D77" s="45">
        <f>_xlfn.COMPOUNDVALUE(1750)</f>
        <v>5</v>
      </c>
      <c r="E77" s="45">
        <f>_xlfn.COMPOUNDVALUE(1765)</f>
        <v>2</v>
      </c>
      <c r="F77" s="45">
        <f>_xlfn.COMPOUNDVALUE(1751)</f>
        <v>6</v>
      </c>
      <c r="G77" s="45">
        <f>_xlfn.COMPOUNDVALUE(1766)</f>
      </c>
      <c r="H77" s="49">
        <f>_xlfn.COMPOUNDVALUE(1752)</f>
      </c>
    </row>
    <row r="78" spans="1:8" ht="15">
      <c r="A78" s="23" t="str">
        <f>_xlfn.COMPOUNDVALUE(1417)</f>
        <v>Pas d'électricité</v>
      </c>
      <c r="B78" s="45">
        <f>_xlfn.COMPOUNDVALUE(1756)</f>
        <v>1179</v>
      </c>
      <c r="C78" s="45">
        <f>_xlfn.COMPOUNDVALUE(1753)</f>
        <v>568</v>
      </c>
      <c r="D78" s="45">
        <f>_xlfn.COMPOUNDVALUE(1732)</f>
        <v>251</v>
      </c>
      <c r="E78" s="45">
        <f>_xlfn.COMPOUNDVALUE(1754)</f>
        <v>269</v>
      </c>
      <c r="F78" s="45">
        <f>_xlfn.COMPOUNDVALUE(1731)</f>
        <v>65</v>
      </c>
      <c r="G78" s="45">
        <f>_xlfn.COMPOUNDVALUE(1755)</f>
        <v>18</v>
      </c>
      <c r="H78" s="49">
        <f>_xlfn.COMPOUNDVALUE(1730)</f>
        <v>8</v>
      </c>
    </row>
    <row r="79" spans="1:8" ht="13.5" customHeight="1">
      <c r="A79" s="23" t="str">
        <f>_xlfn.COMPOUNDVALUE(1418)</f>
        <v>Autre</v>
      </c>
      <c r="B79" s="45">
        <f>_xlfn.COMPOUNDVALUE(1763)</f>
        <v>68</v>
      </c>
      <c r="C79" s="45">
        <f>_xlfn.COMPOUNDVALUE(1760)</f>
        <v>32</v>
      </c>
      <c r="D79" s="45">
        <f>_xlfn.COMPOUNDVALUE(1757)</f>
        <v>18</v>
      </c>
      <c r="E79" s="45">
        <f>_xlfn.COMPOUNDVALUE(1761)</f>
        <v>13</v>
      </c>
      <c r="F79" s="45">
        <f>_xlfn.COMPOUNDVALUE(1758)</f>
        <v>4</v>
      </c>
      <c r="G79" s="45">
        <f>_xlfn.COMPOUNDVALUE(1762)</f>
        <v>1</v>
      </c>
      <c r="H79" s="49">
        <f>_xlfn.COMPOUNDVALUE(1759)</f>
      </c>
    </row>
    <row r="80" spans="1:8" ht="4.5" customHeight="1" hidden="1">
      <c r="A80" s="74" t="str">
        <f>_xlfn.COMPOUNDVALUE(517)</f>
        <v> </v>
      </c>
      <c r="B80" s="22"/>
      <c r="C80" s="22"/>
      <c r="D80" s="22"/>
      <c r="E80" s="22"/>
      <c r="F80" s="22"/>
      <c r="G80" s="22"/>
      <c r="H80" s="25"/>
    </row>
    <row r="81" spans="1:8" ht="15">
      <c r="A81" s="74" t="s">
        <v>28</v>
      </c>
      <c r="B81" s="22" t="str">
        <f>_xlfn.COMPOUNDVALUE(1434)</f>
        <v> </v>
      </c>
      <c r="C81" s="22" t="str">
        <f>_xlfn.COMPOUNDVALUE(1387)</f>
        <v> </v>
      </c>
      <c r="D81" s="22" t="str">
        <f>_xlfn.COMPOUNDVALUE(1388)</f>
        <v> </v>
      </c>
      <c r="E81" s="22" t="str">
        <f>_xlfn.COMPOUNDVALUE(1386)</f>
        <v> </v>
      </c>
      <c r="F81" s="22" t="str">
        <f>_xlfn.COMPOUNDVALUE(1384)</f>
        <v> </v>
      </c>
      <c r="G81" s="22" t="str">
        <f>_xlfn.COMPOUNDVALUE(1385)</f>
        <v> </v>
      </c>
      <c r="H81" s="25" t="str">
        <f>_xlfn.COMPOUNDVALUE(1383)</f>
        <v> </v>
      </c>
    </row>
    <row r="82" spans="1:8" ht="15">
      <c r="A82" s="23" t="str">
        <f>_xlfn.COMPOUNDVALUE(1415)</f>
        <v>Eau courant à l'intérieur du logement</v>
      </c>
      <c r="B82" s="45">
        <f>_xlfn.COMPOUNDVALUE(1785)</f>
        <v>65655</v>
      </c>
      <c r="C82" s="45">
        <f>_xlfn.COMPOUNDVALUE(1791)</f>
        <v>4652</v>
      </c>
      <c r="D82" s="45">
        <f>_xlfn.COMPOUNDVALUE(1772)</f>
        <v>11679</v>
      </c>
      <c r="E82" s="45">
        <f>_xlfn.COMPOUNDVALUE(1789)</f>
        <v>23359</v>
      </c>
      <c r="F82" s="45">
        <f>_xlfn.COMPOUNDVALUE(1773)</f>
        <v>17492</v>
      </c>
      <c r="G82" s="45">
        <f>_xlfn.COMPOUNDVALUE(1787)</f>
        <v>6122</v>
      </c>
      <c r="H82" s="49">
        <f>_xlfn.COMPOUNDVALUE(1774)</f>
        <v>2351</v>
      </c>
    </row>
    <row r="83" spans="1:8" ht="15">
      <c r="A83" s="23" t="str">
        <f>_xlfn.COMPOUNDVALUE(1414)</f>
        <v>Point d'eau individuel à l'extérieur du logement</v>
      </c>
      <c r="B83" s="45">
        <f>_xlfn.COMPOUNDVALUE(1778)</f>
        <v>5474</v>
      </c>
      <c r="C83" s="45">
        <f>_xlfn.COMPOUNDVALUE(1775)</f>
        <v>878</v>
      </c>
      <c r="D83" s="45">
        <f>_xlfn.COMPOUNDVALUE(1782)</f>
        <v>1171</v>
      </c>
      <c r="E83" s="45">
        <f>_xlfn.COMPOUNDVALUE(1776)</f>
        <v>1979</v>
      </c>
      <c r="F83" s="45">
        <f>_xlfn.COMPOUNDVALUE(1783)</f>
        <v>1013</v>
      </c>
      <c r="G83" s="45">
        <f>_xlfn.COMPOUNDVALUE(1777)</f>
        <v>323</v>
      </c>
      <c r="H83" s="49">
        <f>_xlfn.COMPOUNDVALUE(1784)</f>
        <v>110</v>
      </c>
    </row>
    <row r="84" spans="1:8" ht="15">
      <c r="A84" s="23" t="str">
        <f>_xlfn.COMPOUNDVALUE(1422)</f>
        <v>Pas de point d'eau individuel, point d'eau collectif</v>
      </c>
      <c r="B84" s="45">
        <f>_xlfn.COMPOUNDVALUE(1786)</f>
        <v>1579</v>
      </c>
      <c r="C84" s="45">
        <f>_xlfn.COMPOUNDVALUE(1792)</f>
        <v>382</v>
      </c>
      <c r="D84" s="45">
        <f>_xlfn.COMPOUNDVALUE(1779)</f>
        <v>264</v>
      </c>
      <c r="E84" s="45">
        <f>_xlfn.COMPOUNDVALUE(1790)</f>
        <v>483</v>
      </c>
      <c r="F84" s="45">
        <f>_xlfn.COMPOUNDVALUE(1780)</f>
        <v>288</v>
      </c>
      <c r="G84" s="45">
        <f>_xlfn.COMPOUNDVALUE(1788)</f>
        <v>116</v>
      </c>
      <c r="H84" s="49">
        <f>_xlfn.COMPOUNDVALUE(1781)</f>
        <v>46</v>
      </c>
    </row>
    <row r="85" spans="1:8" ht="4.5" customHeight="1" hidden="1">
      <c r="A85" s="74" t="str">
        <f>_xlfn.COMPOUNDVALUE(517)</f>
        <v> </v>
      </c>
      <c r="B85" s="22"/>
      <c r="C85" s="22"/>
      <c r="D85" s="22"/>
      <c r="E85" s="22"/>
      <c r="F85" s="22"/>
      <c r="G85" s="22"/>
      <c r="H85" s="25"/>
    </row>
    <row r="86" spans="1:8" ht="15">
      <c r="A86" s="74" t="s">
        <v>29</v>
      </c>
      <c r="B86" s="22" t="str">
        <f>_xlfn.COMPOUNDVALUE(1434)</f>
        <v> </v>
      </c>
      <c r="C86" s="22" t="str">
        <f>_xlfn.COMPOUNDVALUE(1387)</f>
        <v> </v>
      </c>
      <c r="D86" s="22" t="str">
        <f>_xlfn.COMPOUNDVALUE(1388)</f>
        <v> </v>
      </c>
      <c r="E86" s="22" t="str">
        <f>_xlfn.COMPOUNDVALUE(1386)</f>
        <v> </v>
      </c>
      <c r="F86" s="22" t="str">
        <f>_xlfn.COMPOUNDVALUE(1384)</f>
        <v> </v>
      </c>
      <c r="G86" s="22" t="str">
        <f>_xlfn.COMPOUNDVALUE(1385)</f>
        <v> </v>
      </c>
      <c r="H86" s="25" t="str">
        <f>_xlfn.COMPOUNDVALUE(1383)</f>
        <v> </v>
      </c>
    </row>
    <row r="87" spans="1:8" ht="15">
      <c r="A87" s="23" t="str">
        <f>_xlfn.COMPOUNDVALUE(1423)</f>
        <v>Reseau général</v>
      </c>
      <c r="B87" s="45">
        <f>_xlfn.COMPOUNDVALUE(1799)</f>
        <v>65447</v>
      </c>
      <c r="C87" s="45">
        <f>_xlfn.COMPOUNDVALUE(1796)</f>
        <v>4909</v>
      </c>
      <c r="D87" s="45">
        <f>_xlfn.COMPOUNDVALUE(1795)</f>
        <v>11683</v>
      </c>
      <c r="E87" s="45">
        <f>_xlfn.COMPOUNDVALUE(1797)</f>
        <v>23237</v>
      </c>
      <c r="F87" s="45">
        <f>_xlfn.COMPOUNDVALUE(1794)</f>
        <v>17237</v>
      </c>
      <c r="G87" s="45">
        <f>_xlfn.COMPOUNDVALUE(1798)</f>
        <v>6045</v>
      </c>
      <c r="H87" s="49">
        <f>_xlfn.COMPOUNDVALUE(1793)</f>
        <v>2336</v>
      </c>
    </row>
    <row r="88" spans="1:8" ht="16.5" customHeight="1">
      <c r="A88" s="23" t="str">
        <f>_xlfn.COMPOUNDVALUE(1424)</f>
        <v>Installation privée</v>
      </c>
      <c r="B88" s="45">
        <f>_xlfn.COMPOUNDVALUE(1806)</f>
        <v>7261</v>
      </c>
      <c r="C88" s="45">
        <f>_xlfn.COMPOUNDVALUE(1803)</f>
        <v>1003</v>
      </c>
      <c r="D88" s="45">
        <f>_xlfn.COMPOUNDVALUE(1800)</f>
        <v>1431</v>
      </c>
      <c r="E88" s="45">
        <f>_xlfn.COMPOUNDVALUE(1804)</f>
        <v>2584</v>
      </c>
      <c r="F88" s="45">
        <f>_xlfn.COMPOUNDVALUE(1801)</f>
        <v>1556</v>
      </c>
      <c r="G88" s="45">
        <f>_xlfn.COMPOUNDVALUE(1805)</f>
        <v>516</v>
      </c>
      <c r="H88" s="49">
        <f>_xlfn.COMPOUNDVALUE(1802)</f>
        <v>171</v>
      </c>
    </row>
    <row r="89" spans="1:8" ht="4.5" customHeight="1" hidden="1">
      <c r="A89" s="74" t="str">
        <f>_xlfn.COMPOUNDVALUE(517)</f>
        <v> </v>
      </c>
      <c r="B89" s="22"/>
      <c r="C89" s="22"/>
      <c r="D89" s="22"/>
      <c r="E89" s="22"/>
      <c r="F89" s="22"/>
      <c r="G89" s="22"/>
      <c r="H89" s="25"/>
    </row>
    <row r="90" spans="1:8" ht="15">
      <c r="A90" s="74" t="s">
        <v>30</v>
      </c>
      <c r="B90" s="22" t="str">
        <f>_xlfn.COMPOUNDVALUE(1434)</f>
        <v> </v>
      </c>
      <c r="C90" s="22" t="str">
        <f>_xlfn.COMPOUNDVALUE(1387)</f>
        <v> </v>
      </c>
      <c r="D90" s="22" t="str">
        <f>_xlfn.COMPOUNDVALUE(1388)</f>
        <v> </v>
      </c>
      <c r="E90" s="22" t="str">
        <f>_xlfn.COMPOUNDVALUE(1386)</f>
        <v> </v>
      </c>
      <c r="F90" s="22" t="str">
        <f>_xlfn.COMPOUNDVALUE(1384)</f>
        <v> </v>
      </c>
      <c r="G90" s="22" t="str">
        <f>_xlfn.COMPOUNDVALUE(1385)</f>
        <v> </v>
      </c>
      <c r="H90" s="25" t="str">
        <f>_xlfn.COMPOUNDVALUE(1383)</f>
        <v> </v>
      </c>
    </row>
    <row r="91" spans="1:8" ht="15">
      <c r="A91" s="23" t="str">
        <f>_xlfn.COMPOUNDVALUE(1427)</f>
        <v>Réseau collectif</v>
      </c>
      <c r="B91" s="45">
        <f>_xlfn.COMPOUNDVALUE(1820)</f>
        <v>12697</v>
      </c>
      <c r="C91" s="45">
        <f>_xlfn.COMPOUNDVALUE(1826)</f>
        <v>1168</v>
      </c>
      <c r="D91" s="45">
        <f>_xlfn.COMPOUNDVALUE(1807)</f>
        <v>2719</v>
      </c>
      <c r="E91" s="45">
        <f>_xlfn.COMPOUNDVALUE(1824)</f>
        <v>4002</v>
      </c>
      <c r="F91" s="45">
        <f>_xlfn.COMPOUNDVALUE(1808)</f>
        <v>3158</v>
      </c>
      <c r="G91" s="45">
        <f>_xlfn.COMPOUNDVALUE(1822)</f>
        <v>1263</v>
      </c>
      <c r="H91" s="49">
        <f>_xlfn.COMPOUNDVALUE(1809)</f>
        <v>387</v>
      </c>
    </row>
    <row r="92" spans="1:8" ht="15">
      <c r="A92" s="23" t="str">
        <f>_xlfn.COMPOUNDVALUE(1425)</f>
        <v>Fosse individuel/septique</v>
      </c>
      <c r="B92" s="45">
        <f>_xlfn.COMPOUNDVALUE(1813)</f>
        <v>58006</v>
      </c>
      <c r="C92" s="45">
        <f>_xlfn.COMPOUNDVALUE(1810)</f>
        <v>4001</v>
      </c>
      <c r="D92" s="45">
        <f>_xlfn.COMPOUNDVALUE(1817)</f>
        <v>9914</v>
      </c>
      <c r="E92" s="45">
        <f>_xlfn.COMPOUNDVALUE(1811)</f>
        <v>21320</v>
      </c>
      <c r="F92" s="45">
        <f>_xlfn.COMPOUNDVALUE(1818)</f>
        <v>15460</v>
      </c>
      <c r="G92" s="45">
        <f>_xlfn.COMPOUNDVALUE(1812)</f>
        <v>5238</v>
      </c>
      <c r="H92" s="49">
        <f>_xlfn.COMPOUNDVALUE(1819)</f>
        <v>2073</v>
      </c>
    </row>
    <row r="93" spans="1:8" ht="15">
      <c r="A93" s="23" t="str">
        <f>_xlfn.COMPOUNDVALUE(1426)</f>
        <v>A même le sol</v>
      </c>
      <c r="B93" s="45">
        <f>_xlfn.COMPOUNDVALUE(1821)</f>
        <v>2005</v>
      </c>
      <c r="C93" s="45">
        <f>_xlfn.COMPOUNDVALUE(1827)</f>
        <v>743</v>
      </c>
      <c r="D93" s="45">
        <f>_xlfn.COMPOUNDVALUE(1814)</f>
        <v>481</v>
      </c>
      <c r="E93" s="45">
        <f>_xlfn.COMPOUNDVALUE(1825)</f>
        <v>499</v>
      </c>
      <c r="F93" s="45">
        <f>_xlfn.COMPOUNDVALUE(1815)</f>
        <v>175</v>
      </c>
      <c r="G93" s="45">
        <f>_xlfn.COMPOUNDVALUE(1823)</f>
        <v>60</v>
      </c>
      <c r="H93" s="49">
        <f>_xlfn.COMPOUNDVALUE(1816)</f>
        <v>47</v>
      </c>
    </row>
    <row r="94" spans="1:8" ht="15">
      <c r="A94" s="74" t="s">
        <v>43</v>
      </c>
      <c r="B94" s="22"/>
      <c r="C94" s="22"/>
      <c r="D94" s="22"/>
      <c r="E94" s="22"/>
      <c r="F94" s="22"/>
      <c r="G94" s="22"/>
      <c r="H94" s="25"/>
    </row>
    <row r="95" spans="1:8" ht="15">
      <c r="A95" s="56" t="s">
        <v>31</v>
      </c>
      <c r="B95" s="80">
        <v>0.9283160037409913</v>
      </c>
      <c r="C95" s="80">
        <v>0.7313937753721245</v>
      </c>
      <c r="D95" s="80">
        <v>0.9055970718316303</v>
      </c>
      <c r="E95" s="80">
        <v>0.9432632353510708</v>
      </c>
      <c r="F95" s="80">
        <v>0.9675411057308573</v>
      </c>
      <c r="G95" s="80">
        <v>0.9670781893004116</v>
      </c>
      <c r="H95" s="85">
        <v>0.9621061029118468</v>
      </c>
    </row>
    <row r="96" spans="1:8" ht="15">
      <c r="A96" s="56" t="s">
        <v>32</v>
      </c>
      <c r="B96" s="80">
        <v>0.9355916817956759</v>
      </c>
      <c r="C96" s="80">
        <v>0.7357916102841678</v>
      </c>
      <c r="D96" s="80">
        <v>0.9152813786792741</v>
      </c>
      <c r="E96" s="80">
        <v>0.9520158010921344</v>
      </c>
      <c r="F96" s="80">
        <v>0.9736604054701219</v>
      </c>
      <c r="G96" s="80">
        <v>0.9711934156378601</v>
      </c>
      <c r="H96" s="85">
        <v>0.9652971679297966</v>
      </c>
    </row>
    <row r="97" spans="1:8" ht="15">
      <c r="A97" s="56" t="s">
        <v>33</v>
      </c>
      <c r="B97" s="80">
        <v>0.18927765857952358</v>
      </c>
      <c r="C97" s="80">
        <v>0.14631258457374832</v>
      </c>
      <c r="D97" s="80">
        <v>0.1965838035687052</v>
      </c>
      <c r="E97" s="80">
        <v>0.1680027884280237</v>
      </c>
      <c r="F97" s="80">
        <v>0.21364337785345608</v>
      </c>
      <c r="G97" s="80">
        <v>0.20728547477518672</v>
      </c>
      <c r="H97" s="85">
        <v>0.24172317510969285</v>
      </c>
    </row>
    <row r="98" spans="1:8" ht="15">
      <c r="A98" s="56" t="s">
        <v>34</v>
      </c>
      <c r="B98" s="80">
        <v>0.4259916377840128</v>
      </c>
      <c r="C98" s="80">
        <v>0.3261163734776725</v>
      </c>
      <c r="D98" s="80">
        <v>0.44631691322251027</v>
      </c>
      <c r="E98" s="80">
        <v>0.4387514038960536</v>
      </c>
      <c r="F98" s="80">
        <v>0.4270739104985899</v>
      </c>
      <c r="G98" s="80">
        <v>0.4153330285017528</v>
      </c>
      <c r="H98" s="85">
        <v>0.44355803749501393</v>
      </c>
    </row>
    <row r="99" spans="1:8" ht="15">
      <c r="A99" s="56" t="s">
        <v>35</v>
      </c>
      <c r="B99" s="80">
        <v>0.27030037960059417</v>
      </c>
      <c r="C99" s="80">
        <v>0.10402571041948579</v>
      </c>
      <c r="D99" s="80">
        <v>0.17500381271923135</v>
      </c>
      <c r="E99" s="80">
        <v>0.25084233763215985</v>
      </c>
      <c r="F99" s="80">
        <v>0.36173043154365986</v>
      </c>
      <c r="G99" s="80">
        <v>0.39490931260478584</v>
      </c>
      <c r="H99" s="85">
        <v>0.34982050259274033</v>
      </c>
    </row>
    <row r="100" spans="1:8" ht="15">
      <c r="A100" s="56" t="s">
        <v>36</v>
      </c>
      <c r="B100" s="80">
        <v>0.9135858502503164</v>
      </c>
      <c r="C100" s="80">
        <v>0.6872462787550744</v>
      </c>
      <c r="D100" s="80">
        <v>0.8827970108281226</v>
      </c>
      <c r="E100" s="80">
        <v>0.9281205220556911</v>
      </c>
      <c r="F100" s="80">
        <v>0.9596658330229341</v>
      </c>
      <c r="G100" s="80">
        <v>0.9681450998323426</v>
      </c>
      <c r="H100" s="85">
        <v>0.9704826485839649</v>
      </c>
    </row>
    <row r="101" spans="1:8" ht="15">
      <c r="A101" s="56" t="s">
        <v>37</v>
      </c>
      <c r="B101" s="80">
        <v>0.6360235462397535</v>
      </c>
      <c r="C101" s="80">
        <v>0.39851150202977</v>
      </c>
      <c r="D101" s="80">
        <v>0.5450663413146256</v>
      </c>
      <c r="E101" s="80">
        <v>0.6412222609503893</v>
      </c>
      <c r="F101" s="80">
        <v>0.7008992710051615</v>
      </c>
      <c r="G101" s="80">
        <v>0.7636031092821216</v>
      </c>
      <c r="H101" s="85">
        <v>0.7981651376146789</v>
      </c>
    </row>
    <row r="102" spans="1:8" ht="15">
      <c r="A102" s="56" t="s">
        <v>45</v>
      </c>
      <c r="B102" s="80">
        <v>0.9103399900973758</v>
      </c>
      <c r="C102" s="80">
        <v>0.7207374830852503</v>
      </c>
      <c r="D102" s="80">
        <v>0.8895073966753089</v>
      </c>
      <c r="E102" s="80">
        <v>0.9208396266604701</v>
      </c>
      <c r="F102" s="80">
        <v>0.9488639387005801</v>
      </c>
      <c r="G102" s="80">
        <v>0.9527511050144795</v>
      </c>
      <c r="H102" s="85">
        <v>0.9585161547666534</v>
      </c>
    </row>
    <row r="103" spans="1:8" ht="15">
      <c r="A103" s="56" t="s">
        <v>38</v>
      </c>
      <c r="B103" s="80">
        <v>0.5720553446663366</v>
      </c>
      <c r="C103" s="80">
        <v>0.37246278755074425</v>
      </c>
      <c r="D103" s="80">
        <v>0.5093030349245081</v>
      </c>
      <c r="E103" s="80">
        <v>0.560551489098021</v>
      </c>
      <c r="F103" s="80">
        <v>0.6422604161123823</v>
      </c>
      <c r="G103" s="80">
        <v>0.6694101508916324</v>
      </c>
      <c r="H103" s="85">
        <v>0.7084164339848424</v>
      </c>
    </row>
    <row r="104" spans="1:8" ht="15">
      <c r="A104" s="56" t="s">
        <v>39</v>
      </c>
      <c r="B104" s="80">
        <v>0.4269406392694064</v>
      </c>
      <c r="C104" s="80">
        <v>0.2242895805142084</v>
      </c>
      <c r="D104" s="80">
        <v>0.36777489705658073</v>
      </c>
      <c r="E104" s="80">
        <v>0.41353936718175127</v>
      </c>
      <c r="F104" s="80">
        <v>0.5039110307029213</v>
      </c>
      <c r="G104" s="80">
        <v>0.5172991921963115</v>
      </c>
      <c r="H104" s="85">
        <v>0.5388911049062625</v>
      </c>
    </row>
    <row r="105" spans="1:8" ht="15">
      <c r="A105" s="56" t="s">
        <v>40</v>
      </c>
      <c r="B105" s="80">
        <v>0.8563706882323816</v>
      </c>
      <c r="C105" s="80">
        <v>0.6662719891745602</v>
      </c>
      <c r="D105" s="80">
        <v>0.8204209242031417</v>
      </c>
      <c r="E105" s="80">
        <v>0.8634444831726115</v>
      </c>
      <c r="F105" s="80">
        <v>0.9030490076092162</v>
      </c>
      <c r="G105" s="80">
        <v>0.9140374942844078</v>
      </c>
      <c r="H105" s="85">
        <v>0.9190267251695253</v>
      </c>
    </row>
    <row r="106" spans="1:8" ht="15">
      <c r="A106" s="56" t="s">
        <v>41</v>
      </c>
      <c r="B106" s="80">
        <v>0.5118281344556307</v>
      </c>
      <c r="C106" s="80">
        <v>0.20635994587280107</v>
      </c>
      <c r="D106" s="80">
        <v>0.39957297544608816</v>
      </c>
      <c r="E106" s="80">
        <v>0.5135354943650517</v>
      </c>
      <c r="F106" s="80">
        <v>0.621880487415527</v>
      </c>
      <c r="G106" s="80">
        <v>0.6297820454199055</v>
      </c>
      <c r="H106" s="85">
        <v>0.668129238133227</v>
      </c>
    </row>
    <row r="107" spans="1:8" ht="15">
      <c r="A107" s="56" t="s">
        <v>42</v>
      </c>
      <c r="B107" s="80">
        <v>0.8989932332067998</v>
      </c>
      <c r="C107" s="80">
        <v>0.8012516914749662</v>
      </c>
      <c r="D107" s="80">
        <v>0.8761628793655635</v>
      </c>
      <c r="E107" s="80">
        <v>0.9024824755044344</v>
      </c>
      <c r="F107" s="80">
        <v>0.9229500345873464</v>
      </c>
      <c r="G107" s="80">
        <v>0.9355281207133059</v>
      </c>
      <c r="H107" s="85">
        <v>0.93777423214998</v>
      </c>
    </row>
    <row r="108" spans="1:8" ht="15">
      <c r="A108" s="76" t="s">
        <v>2</v>
      </c>
      <c r="B108" s="87"/>
      <c r="C108" s="87"/>
      <c r="D108" s="87"/>
      <c r="E108" s="87"/>
      <c r="F108" s="87"/>
      <c r="G108" s="87"/>
      <c r="H108" s="88"/>
    </row>
    <row r="109" spans="1:8" ht="15">
      <c r="A109" s="77" t="str">
        <f>_xlfn.COMPOUNDVALUE(2278)</f>
        <v>Pas de voiture</v>
      </c>
      <c r="B109" s="80">
        <v>0.22914947461077184</v>
      </c>
      <c r="C109" s="80">
        <v>0.4237144790257104</v>
      </c>
      <c r="D109" s="80">
        <v>0.2829037669666006</v>
      </c>
      <c r="E109" s="80">
        <v>0.21869795902559933</v>
      </c>
      <c r="F109" s="80">
        <v>0.16617889639759484</v>
      </c>
      <c r="G109" s="80">
        <v>0.15333028501752782</v>
      </c>
      <c r="H109" s="85">
        <v>0.13123254886318308</v>
      </c>
    </row>
    <row r="110" spans="1:8" ht="15">
      <c r="A110" s="77" t="str">
        <f>_xlfn.COMPOUNDVALUE(2279)</f>
        <v>1 voiture</v>
      </c>
      <c r="B110" s="80">
        <v>0.464680640369698</v>
      </c>
      <c r="C110" s="80">
        <v>0.4237144790257104</v>
      </c>
      <c r="D110" s="80">
        <v>0.5224950434649992</v>
      </c>
      <c r="E110" s="80">
        <v>0.49878006273963055</v>
      </c>
      <c r="F110" s="80">
        <v>0.43356568935241846</v>
      </c>
      <c r="G110" s="80">
        <v>0.39475689681451</v>
      </c>
      <c r="H110" s="85">
        <v>0.3238930993218987</v>
      </c>
    </row>
    <row r="111" spans="1:8" ht="15">
      <c r="A111" s="77" t="str">
        <f>_xlfn.COMPOUNDVALUE(2280)</f>
        <v>2 voitures</v>
      </c>
      <c r="B111" s="80">
        <v>0.24027617318589425</v>
      </c>
      <c r="C111" s="80">
        <v>0.08338971583220568</v>
      </c>
      <c r="D111" s="80">
        <v>0.16814091810279091</v>
      </c>
      <c r="E111" s="80">
        <v>0.23209790480616552</v>
      </c>
      <c r="F111" s="80">
        <v>0.3127760336295429</v>
      </c>
      <c r="G111" s="80">
        <v>0.3174820911446426</v>
      </c>
      <c r="H111" s="85">
        <v>0.326286398085361</v>
      </c>
    </row>
    <row r="112" spans="1:8" ht="15">
      <c r="A112" s="77" t="str">
        <f>_xlfn.COMPOUNDVALUE(2281)</f>
        <v>3 voitures ou plus</v>
      </c>
      <c r="B112" s="80">
        <v>0.06589</v>
      </c>
      <c r="C112" s="80">
        <v>0.011</v>
      </c>
      <c r="D112" s="80">
        <v>0.011</v>
      </c>
      <c r="E112" s="80">
        <v>0.05</v>
      </c>
      <c r="F112" s="80">
        <v>0.087</v>
      </c>
      <c r="G112" s="80">
        <v>0.1344</v>
      </c>
      <c r="H112" s="85">
        <v>0.218</v>
      </c>
    </row>
    <row r="113" spans="1:9" ht="15">
      <c r="A113" s="76" t="s">
        <v>1</v>
      </c>
      <c r="B113" s="87"/>
      <c r="C113" s="87"/>
      <c r="D113" s="87"/>
      <c r="E113" s="87"/>
      <c r="F113" s="87"/>
      <c r="G113" s="87"/>
      <c r="H113" s="88"/>
      <c r="I113" s="81"/>
    </row>
    <row r="114" spans="1:8" ht="15">
      <c r="A114" s="77" t="str">
        <f>_xlfn.COMPOUNDVALUE(2266)</f>
        <v>Aucune moto</v>
      </c>
      <c r="B114" s="80">
        <v>0.7626120922044342</v>
      </c>
      <c r="C114" s="80">
        <v>0.8034506089309879</v>
      </c>
      <c r="D114" s="80">
        <v>0.7817599511971939</v>
      </c>
      <c r="E114" s="80">
        <v>0.7707679795515279</v>
      </c>
      <c r="F114" s="80">
        <v>0.7501729367317618</v>
      </c>
      <c r="G114" s="80">
        <v>0.7203170248437738</v>
      </c>
      <c r="H114" s="85">
        <v>0.6860789788591942</v>
      </c>
    </row>
    <row r="115" spans="1:8" ht="15">
      <c r="A115" s="77" t="str">
        <f>_xlfn.COMPOUNDVALUE(2267)</f>
        <v>1 moto</v>
      </c>
      <c r="B115" s="80">
        <v>0.19625075645045936</v>
      </c>
      <c r="C115" s="80">
        <v>0.17083897158322056</v>
      </c>
      <c r="D115" s="80">
        <v>0.18827207564434956</v>
      </c>
      <c r="E115" s="80">
        <v>0.1931373688083343</v>
      </c>
      <c r="F115" s="80">
        <v>0.20385249827063268</v>
      </c>
      <c r="G115" s="80">
        <v>0.21643042219173905</v>
      </c>
      <c r="H115" s="85">
        <v>0.22018348623853212</v>
      </c>
    </row>
    <row r="116" spans="1:8" ht="15">
      <c r="A116" s="77" t="str">
        <f>_xlfn.COMPOUNDVALUE(2268)</f>
        <v>2 motos</v>
      </c>
      <c r="B116" s="80">
        <v>0.03069813500577653</v>
      </c>
      <c r="C116" s="80">
        <v>0.016914749661705007</v>
      </c>
      <c r="D116" s="80">
        <v>0.02127497331096538</v>
      </c>
      <c r="E116" s="80">
        <v>0.027845552070020527</v>
      </c>
      <c r="F116" s="80">
        <v>0.03533230458149311</v>
      </c>
      <c r="G116" s="80">
        <v>0.04602956866331352</v>
      </c>
      <c r="H116" s="85">
        <v>0.06701236537694455</v>
      </c>
    </row>
    <row r="117" spans="1:8" ht="15">
      <c r="A117" s="77" t="str">
        <f>_xlfn.COMPOUNDVALUE(2269)</f>
        <v>3 motos ou plus</v>
      </c>
      <c r="B117" s="80">
        <v>0.01</v>
      </c>
      <c r="C117" s="80">
        <v>0.0087</v>
      </c>
      <c r="D117" s="80">
        <v>0.0086</v>
      </c>
      <c r="E117" s="80">
        <v>0.0082</v>
      </c>
      <c r="F117" s="80">
        <v>0.01</v>
      </c>
      <c r="G117" s="80">
        <v>0.017</v>
      </c>
      <c r="H117" s="85">
        <v>0.026</v>
      </c>
    </row>
    <row r="118" spans="1:8" ht="15">
      <c r="A118" s="76" t="s">
        <v>67</v>
      </c>
      <c r="B118" s="87"/>
      <c r="C118" s="87"/>
      <c r="D118" s="87"/>
      <c r="E118" s="87"/>
      <c r="F118" s="87"/>
      <c r="G118" s="87"/>
      <c r="H118" s="88"/>
    </row>
    <row r="119" spans="1:8" ht="15">
      <c r="A119" s="77" t="str">
        <f>_xlfn.COMPOUNDVALUE(2270)</f>
        <v>Aucun bateau</v>
      </c>
      <c r="B119" s="80">
        <v>0.8660807614017715</v>
      </c>
      <c r="C119" s="80">
        <v>0.8949594046008119</v>
      </c>
      <c r="D119" s="80">
        <v>0.8885923440597835</v>
      </c>
      <c r="E119" s="80">
        <v>0.8640254056775493</v>
      </c>
      <c r="F119" s="80">
        <v>0.8545203001117437</v>
      </c>
      <c r="G119" s="80">
        <v>0.8463648834019204</v>
      </c>
      <c r="H119" s="85">
        <v>0.8396489828480256</v>
      </c>
    </row>
    <row r="120" spans="1:8" ht="15">
      <c r="A120" s="77" t="str">
        <f>_xlfn.COMPOUNDVALUE(2271)</f>
        <v>1 bateau</v>
      </c>
      <c r="B120" s="80">
        <v>0.11613577598063486</v>
      </c>
      <c r="C120" s="80">
        <v>0.09269282814614344</v>
      </c>
      <c r="D120" s="80">
        <v>0.09913070001525087</v>
      </c>
      <c r="E120" s="80">
        <v>0.11781108400139421</v>
      </c>
      <c r="F120" s="80">
        <v>0.12637684244133454</v>
      </c>
      <c r="G120" s="80">
        <v>0.1289437585733882</v>
      </c>
      <c r="H120" s="85">
        <v>0.13282808137215796</v>
      </c>
    </row>
    <row r="121" spans="1:8" ht="15">
      <c r="A121" s="77" t="str">
        <f>_xlfn.COMPOUNDVALUE(2272)</f>
        <v>2 bateaux</v>
      </c>
      <c r="B121" s="80">
        <v>0.01097540848324806</v>
      </c>
      <c r="C121" s="80">
        <v>0.006935047361299053</v>
      </c>
      <c r="D121" s="80">
        <v>0.006710385847186213</v>
      </c>
      <c r="E121" s="80">
        <v>0.011114983927810696</v>
      </c>
      <c r="F121" s="80">
        <v>0.01170648645772362</v>
      </c>
      <c r="G121" s="80">
        <v>0.01783264746227709</v>
      </c>
      <c r="H121" s="85">
        <v>0.017949740725967292</v>
      </c>
    </row>
    <row r="122" spans="1:8" ht="15">
      <c r="A122" s="77" t="str">
        <f>_xlfn.COMPOUNDVALUE(2273)</f>
        <v>3 bateaux ou plus</v>
      </c>
      <c r="B122" s="80">
        <v>0.0068</v>
      </c>
      <c r="C122" s="80">
        <v>0.005</v>
      </c>
      <c r="D122" s="80">
        <v>0.0055</v>
      </c>
      <c r="E122" s="80">
        <v>0.007</v>
      </c>
      <c r="F122" s="80">
        <v>0.0073</v>
      </c>
      <c r="G122" s="80">
        <v>0.0068</v>
      </c>
      <c r="H122" s="85">
        <v>0.0095</v>
      </c>
    </row>
    <row r="123" spans="1:8" ht="15">
      <c r="A123" s="76" t="s">
        <v>72</v>
      </c>
      <c r="B123" s="87"/>
      <c r="C123" s="87"/>
      <c r="D123" s="87"/>
      <c r="E123" s="87"/>
      <c r="F123" s="87"/>
      <c r="G123" s="87"/>
      <c r="H123" s="88"/>
    </row>
    <row r="124" spans="1:8" ht="15">
      <c r="A124" s="77" t="str">
        <f>_xlfn.COMPOUNDVALUE(2274)</f>
        <v>Aucune pirogue</v>
      </c>
      <c r="B124" s="80">
        <v>0.8967376354734005</v>
      </c>
      <c r="C124" s="80">
        <v>0.9169485791610285</v>
      </c>
      <c r="D124" s="80">
        <v>0.9059020893701388</v>
      </c>
      <c r="E124" s="80">
        <v>0.8955501336121762</v>
      </c>
      <c r="F124" s="80">
        <v>0.8944287766721651</v>
      </c>
      <c r="G124" s="80">
        <v>0.8843164151806127</v>
      </c>
      <c r="H124" s="85">
        <v>0.8631830873554048</v>
      </c>
    </row>
    <row r="125" spans="1:8" ht="15">
      <c r="A125" s="77" t="str">
        <f>_xlfn.COMPOUNDVALUE(2275)</f>
        <v>1 pirogue</v>
      </c>
      <c r="B125" s="80">
        <v>0.07633272817296584</v>
      </c>
      <c r="C125" s="80">
        <v>0.06190798376184033</v>
      </c>
      <c r="D125" s="80">
        <v>0.07137410401098063</v>
      </c>
      <c r="E125" s="80">
        <v>0.0789280043375547</v>
      </c>
      <c r="F125" s="80">
        <v>0.07662427499600916</v>
      </c>
      <c r="G125" s="80">
        <v>0.08245694253924707</v>
      </c>
      <c r="H125" s="85">
        <v>0.09134423613881133</v>
      </c>
    </row>
    <row r="126" spans="1:8" ht="15">
      <c r="A126" s="77" t="str">
        <f>_xlfn.COMPOUNDVALUE(2276)</f>
        <v>2 pirogues</v>
      </c>
      <c r="B126" s="80">
        <v>0.011663090719040545</v>
      </c>
      <c r="C126" s="80">
        <v>0.006596752368064953</v>
      </c>
      <c r="D126" s="80">
        <v>0.007854201616592954</v>
      </c>
      <c r="E126" s="80">
        <v>0.011114983927810696</v>
      </c>
      <c r="F126" s="80">
        <v>0.013728515936784973</v>
      </c>
      <c r="G126" s="80">
        <v>0.016918152720621856</v>
      </c>
      <c r="H126" s="85">
        <v>0.01994415636218588</v>
      </c>
    </row>
    <row r="127" spans="1:8" ht="15">
      <c r="A127" s="78" t="str">
        <f>_xlfn.COMPOUNDVALUE(2277)</f>
        <v>3 pirogues ou plus</v>
      </c>
      <c r="B127" s="89">
        <v>0.015</v>
      </c>
      <c r="C127" s="89">
        <v>0.0145</v>
      </c>
      <c r="D127" s="89">
        <v>0.0148</v>
      </c>
      <c r="E127" s="89">
        <v>0.0144</v>
      </c>
      <c r="F127" s="89">
        <v>0.0152</v>
      </c>
      <c r="G127" s="89">
        <v>0.0163</v>
      </c>
      <c r="H127" s="90">
        <v>0.0255</v>
      </c>
    </row>
    <row r="129" ht="15">
      <c r="H129" s="86" t="s">
        <v>49</v>
      </c>
    </row>
  </sheetData>
  <sheetProtection/>
  <mergeCells count="1">
    <mergeCell ref="A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H11" sqref="H11"/>
    </sheetView>
  </sheetViews>
  <sheetFormatPr defaultColWidth="14.421875" defaultRowHeight="15"/>
  <cols>
    <col min="1" max="1" width="36.421875" style="35" customWidth="1"/>
    <col min="2" max="10" width="5.421875" style="35" customWidth="1"/>
    <col min="11" max="16384" width="14.421875" style="35" customWidth="1"/>
  </cols>
  <sheetData>
    <row r="1" spans="1:10" ht="35.25" customHeight="1">
      <c r="A1" s="226" t="s">
        <v>181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0" ht="11.25">
      <c r="A2" s="227"/>
      <c r="B2" s="227"/>
      <c r="C2" s="227"/>
      <c r="D2" s="178"/>
      <c r="E2" s="178"/>
      <c r="F2" s="178"/>
      <c r="G2" s="178"/>
      <c r="H2" s="178"/>
      <c r="I2" s="178"/>
      <c r="J2" s="179"/>
    </row>
    <row r="3" spans="1:10" ht="11.25">
      <c r="A3" s="180"/>
      <c r="B3" s="228" t="s">
        <v>8</v>
      </c>
      <c r="C3" s="229"/>
      <c r="D3" s="229"/>
      <c r="E3" s="229"/>
      <c r="F3" s="229"/>
      <c r="G3" s="229"/>
      <c r="H3" s="229"/>
      <c r="I3" s="229"/>
      <c r="J3" s="229"/>
    </row>
    <row r="4" spans="1:10" ht="22.5">
      <c r="A4" s="181">
        <f>_xlfn.COMPOUNDVALUE(2298)</f>
      </c>
      <c r="B4" s="182" t="str">
        <f>_xlfn.COMPOUNDVALUE(2299)</f>
        <v>Ensemble</v>
      </c>
      <c r="C4" s="182" t="str">
        <f>_xlfn.COMPOUNDVALUE(2300)</f>
        <v>1</v>
      </c>
      <c r="D4" s="182" t="str">
        <f>_xlfn.COMPOUNDVALUE(2301)</f>
        <v>2</v>
      </c>
      <c r="E4" s="182" t="str">
        <f>_xlfn.COMPOUNDVALUE(2302)</f>
        <v>3</v>
      </c>
      <c r="F4" s="182" t="str">
        <f>_xlfn.COMPOUNDVALUE(2303)</f>
        <v>4</v>
      </c>
      <c r="G4" s="182" t="str">
        <f>_xlfn.COMPOUNDVALUE(2304)</f>
        <v>5</v>
      </c>
      <c r="H4" s="182" t="str">
        <f>_xlfn.COMPOUNDVALUE(2305)</f>
        <v>6</v>
      </c>
      <c r="I4" s="182" t="str">
        <f>_xlfn.COMPOUNDVALUE(2306)</f>
        <v>7</v>
      </c>
      <c r="J4" s="183" t="str">
        <f>_xlfn.COMPOUNDVALUE(2307)</f>
        <v>8 et plus</v>
      </c>
    </row>
    <row r="5" spans="1:10" ht="11.25">
      <c r="A5" s="184" t="str">
        <f>_xlfn.COMPOUNDVALUE(2308)</f>
        <v>Ensemble des résidences principales</v>
      </c>
      <c r="B5" s="185">
        <v>72708</v>
      </c>
      <c r="C5" s="185">
        <v>10533</v>
      </c>
      <c r="D5" s="185">
        <v>15753</v>
      </c>
      <c r="E5" s="185">
        <v>14228</v>
      </c>
      <c r="F5" s="185">
        <v>12853</v>
      </c>
      <c r="G5" s="185">
        <v>7973</v>
      </c>
      <c r="H5" s="185">
        <v>4263</v>
      </c>
      <c r="I5" s="185">
        <v>2547</v>
      </c>
      <c r="J5" s="186">
        <v>4558</v>
      </c>
    </row>
    <row r="6" spans="1:10" ht="11.25">
      <c r="A6" s="187"/>
      <c r="B6" s="188"/>
      <c r="C6" s="188"/>
      <c r="D6" s="188"/>
      <c r="E6" s="188"/>
      <c r="F6" s="188"/>
      <c r="G6" s="188"/>
      <c r="H6" s="188"/>
      <c r="I6" s="188"/>
      <c r="J6" s="189"/>
    </row>
    <row r="7" spans="1:10" ht="11.25">
      <c r="A7" s="184" t="s">
        <v>10</v>
      </c>
      <c r="B7" s="185"/>
      <c r="C7" s="185"/>
      <c r="D7" s="185"/>
      <c r="E7" s="185"/>
      <c r="F7" s="185"/>
      <c r="G7" s="185"/>
      <c r="H7" s="185"/>
      <c r="I7" s="185"/>
      <c r="J7" s="186"/>
    </row>
    <row r="8" spans="1:10" ht="11.25">
      <c r="A8" s="187" t="str">
        <f>_xlfn.COMPOUNDVALUE(2309)</f>
        <v>Maison individuelle</v>
      </c>
      <c r="B8" s="188">
        <v>51942</v>
      </c>
      <c r="C8" s="188">
        <v>6898</v>
      </c>
      <c r="D8" s="188">
        <v>11601</v>
      </c>
      <c r="E8" s="188">
        <v>10631</v>
      </c>
      <c r="F8" s="188">
        <v>9518</v>
      </c>
      <c r="G8" s="188">
        <v>5650</v>
      </c>
      <c r="H8" s="188">
        <v>2930</v>
      </c>
      <c r="I8" s="188">
        <v>1776</v>
      </c>
      <c r="J8" s="189">
        <v>2938</v>
      </c>
    </row>
    <row r="9" spans="1:10" ht="11.25">
      <c r="A9" s="187" t="str">
        <f>_xlfn.COMPOUNDVALUE(2310)</f>
        <v>Fare ATR, MTR, FEI, OPH</v>
      </c>
      <c r="B9" s="188">
        <v>10777</v>
      </c>
      <c r="C9" s="188">
        <v>964</v>
      </c>
      <c r="D9" s="188">
        <v>1559</v>
      </c>
      <c r="E9" s="188">
        <v>1827</v>
      </c>
      <c r="F9" s="188">
        <v>2055</v>
      </c>
      <c r="G9" s="188">
        <v>1612</v>
      </c>
      <c r="H9" s="188">
        <v>978</v>
      </c>
      <c r="I9" s="188">
        <v>577</v>
      </c>
      <c r="J9" s="189">
        <v>1205</v>
      </c>
    </row>
    <row r="10" spans="1:10" ht="11.25">
      <c r="A10" s="187" t="str">
        <f>_xlfn.COMPOUNDVALUE(2311)</f>
        <v>Immeuble collectif</v>
      </c>
      <c r="B10" s="188">
        <v>6153</v>
      </c>
      <c r="C10" s="188">
        <v>2021</v>
      </c>
      <c r="D10" s="188">
        <v>1939</v>
      </c>
      <c r="E10" s="188">
        <v>1146</v>
      </c>
      <c r="F10" s="188">
        <v>649</v>
      </c>
      <c r="G10" s="188">
        <v>258</v>
      </c>
      <c r="H10" s="188">
        <v>74</v>
      </c>
      <c r="I10" s="188">
        <v>26</v>
      </c>
      <c r="J10" s="189">
        <v>40</v>
      </c>
    </row>
    <row r="11" spans="1:10" ht="11.25">
      <c r="A11" s="190" t="s">
        <v>95</v>
      </c>
      <c r="B11" s="188">
        <v>1115</v>
      </c>
      <c r="C11" s="188">
        <v>243</v>
      </c>
      <c r="D11" s="188">
        <v>208</v>
      </c>
      <c r="E11" s="188">
        <v>207</v>
      </c>
      <c r="F11" s="188">
        <v>184</v>
      </c>
      <c r="G11" s="188">
        <v>111</v>
      </c>
      <c r="H11" s="188">
        <v>66</v>
      </c>
      <c r="I11" s="188">
        <v>37</v>
      </c>
      <c r="J11" s="189">
        <v>59</v>
      </c>
    </row>
    <row r="12" spans="1:10" ht="11.25">
      <c r="A12" s="187" t="str">
        <f>_xlfn.COMPOUNDVALUE(2312)</f>
        <v>Construction collective de l'OPH</v>
      </c>
      <c r="B12" s="188">
        <v>1800</v>
      </c>
      <c r="C12" s="188">
        <v>148</v>
      </c>
      <c r="D12" s="188">
        <v>222</v>
      </c>
      <c r="E12" s="188">
        <v>280</v>
      </c>
      <c r="F12" s="188">
        <v>312</v>
      </c>
      <c r="G12" s="188">
        <v>266</v>
      </c>
      <c r="H12" s="188">
        <v>190</v>
      </c>
      <c r="I12" s="188">
        <v>109</v>
      </c>
      <c r="J12" s="189">
        <v>273</v>
      </c>
    </row>
    <row r="13" spans="1:10" ht="11.25">
      <c r="A13" s="187" t="str">
        <f>_xlfn.COMPOUNDVALUE(2313)</f>
        <v>Hôtel, pension de famille</v>
      </c>
      <c r="B13" s="188">
        <v>304</v>
      </c>
      <c r="C13" s="188">
        <v>100</v>
      </c>
      <c r="D13" s="188">
        <v>107</v>
      </c>
      <c r="E13" s="188">
        <v>40</v>
      </c>
      <c r="F13" s="188">
        <v>30</v>
      </c>
      <c r="G13" s="188">
        <v>17</v>
      </c>
      <c r="H13" s="188">
        <v>3</v>
      </c>
      <c r="I13" s="188">
        <v>1</v>
      </c>
      <c r="J13" s="189">
        <v>6</v>
      </c>
    </row>
    <row r="14" spans="1:10" ht="11.25">
      <c r="A14" s="190" t="s">
        <v>97</v>
      </c>
      <c r="B14" s="188">
        <v>291</v>
      </c>
      <c r="C14" s="188">
        <v>53</v>
      </c>
      <c r="D14" s="188">
        <v>52</v>
      </c>
      <c r="E14" s="188">
        <v>59</v>
      </c>
      <c r="F14" s="188">
        <v>45</v>
      </c>
      <c r="G14" s="188">
        <v>30</v>
      </c>
      <c r="H14" s="188">
        <v>16</v>
      </c>
      <c r="I14" s="188">
        <v>12</v>
      </c>
      <c r="J14" s="189">
        <v>24</v>
      </c>
    </row>
    <row r="15" spans="1:10" ht="11.25">
      <c r="A15" s="187" t="s">
        <v>186</v>
      </c>
      <c r="B15" s="188">
        <v>326</v>
      </c>
      <c r="C15" s="128">
        <v>106</v>
      </c>
      <c r="D15" s="128">
        <v>65</v>
      </c>
      <c r="E15" s="128">
        <v>38</v>
      </c>
      <c r="F15" s="128">
        <v>60</v>
      </c>
      <c r="G15" s="128">
        <v>29</v>
      </c>
      <c r="H15" s="128">
        <v>6</v>
      </c>
      <c r="I15" s="128">
        <v>9</v>
      </c>
      <c r="J15" s="191">
        <v>13</v>
      </c>
    </row>
    <row r="16" spans="1:10" ht="11.25">
      <c r="A16" s="184" t="s">
        <v>11</v>
      </c>
      <c r="B16" s="185"/>
      <c r="C16" s="185"/>
      <c r="D16" s="185"/>
      <c r="E16" s="185"/>
      <c r="F16" s="185"/>
      <c r="G16" s="185"/>
      <c r="H16" s="185"/>
      <c r="I16" s="185"/>
      <c r="J16" s="186"/>
    </row>
    <row r="17" spans="1:10" ht="11.25">
      <c r="A17" s="187" t="str">
        <f>_xlfn.COMPOUNDVALUE(2314)</f>
        <v>1 pièce</v>
      </c>
      <c r="B17" s="128">
        <v>5912</v>
      </c>
      <c r="C17" s="128">
        <v>2089</v>
      </c>
      <c r="D17" s="128">
        <v>1527</v>
      </c>
      <c r="E17" s="128">
        <v>1008</v>
      </c>
      <c r="F17" s="128">
        <v>675</v>
      </c>
      <c r="G17" s="128">
        <v>326</v>
      </c>
      <c r="H17" s="128">
        <v>145</v>
      </c>
      <c r="I17" s="128">
        <v>76</v>
      </c>
      <c r="J17" s="191">
        <v>66</v>
      </c>
    </row>
    <row r="18" spans="1:10" ht="11.25">
      <c r="A18" s="187" t="str">
        <f>_xlfn.COMPOUNDVALUE(2315)</f>
        <v>2 pièces</v>
      </c>
      <c r="B18" s="128">
        <v>13114</v>
      </c>
      <c r="C18" s="128">
        <v>2969</v>
      </c>
      <c r="D18" s="128">
        <v>3513</v>
      </c>
      <c r="E18" s="128">
        <v>2714</v>
      </c>
      <c r="F18" s="128">
        <v>1908</v>
      </c>
      <c r="G18" s="128">
        <v>987</v>
      </c>
      <c r="H18" s="128">
        <v>482</v>
      </c>
      <c r="I18" s="128">
        <v>257</v>
      </c>
      <c r="J18" s="191">
        <v>284</v>
      </c>
    </row>
    <row r="19" spans="1:10" ht="11.25">
      <c r="A19" s="187" t="str">
        <f>_xlfn.COMPOUNDVALUE(2316)</f>
        <v>3 pièces</v>
      </c>
      <c r="B19" s="128">
        <v>25821</v>
      </c>
      <c r="C19" s="128">
        <v>3488</v>
      </c>
      <c r="D19" s="128">
        <v>5953</v>
      </c>
      <c r="E19" s="128">
        <v>5522</v>
      </c>
      <c r="F19" s="128">
        <v>4791</v>
      </c>
      <c r="G19" s="128">
        <v>2803</v>
      </c>
      <c r="H19" s="128">
        <v>1430</v>
      </c>
      <c r="I19" s="128">
        <v>763</v>
      </c>
      <c r="J19" s="191">
        <v>1071</v>
      </c>
    </row>
    <row r="20" spans="1:10" ht="11.25">
      <c r="A20" s="187" t="str">
        <f>_xlfn.COMPOUNDVALUE(2317)</f>
        <v>4 pièces</v>
      </c>
      <c r="B20" s="128">
        <v>18793</v>
      </c>
      <c r="C20" s="128">
        <v>1512</v>
      </c>
      <c r="D20" s="128">
        <v>3501</v>
      </c>
      <c r="E20" s="128">
        <v>3642</v>
      </c>
      <c r="F20" s="128">
        <v>3910</v>
      </c>
      <c r="G20" s="128">
        <v>2525</v>
      </c>
      <c r="H20" s="128">
        <v>1370</v>
      </c>
      <c r="I20" s="128">
        <v>818</v>
      </c>
      <c r="J20" s="191">
        <v>1515</v>
      </c>
    </row>
    <row r="21" spans="1:10" ht="11.25">
      <c r="A21" s="187" t="str">
        <f>_xlfn.COMPOUNDVALUE(2318)</f>
        <v>5 pièces</v>
      </c>
      <c r="B21" s="128">
        <v>6561</v>
      </c>
      <c r="C21" s="128">
        <v>346</v>
      </c>
      <c r="D21" s="128">
        <v>959</v>
      </c>
      <c r="E21" s="128">
        <v>969</v>
      </c>
      <c r="F21" s="128">
        <v>1182</v>
      </c>
      <c r="G21" s="128">
        <v>1017</v>
      </c>
      <c r="H21" s="128">
        <v>615</v>
      </c>
      <c r="I21" s="128">
        <v>470</v>
      </c>
      <c r="J21" s="191">
        <v>1003</v>
      </c>
    </row>
    <row r="22" spans="1:10" ht="11.25">
      <c r="A22" s="187" t="str">
        <f>_xlfn.COMPOUNDVALUE(2319)</f>
        <v>6 pièces ou plus</v>
      </c>
      <c r="B22" s="128">
        <v>2507</v>
      </c>
      <c r="C22" s="128">
        <v>129</v>
      </c>
      <c r="D22" s="128">
        <v>300</v>
      </c>
      <c r="E22" s="128">
        <v>373</v>
      </c>
      <c r="F22" s="128">
        <v>387</v>
      </c>
      <c r="G22" s="128">
        <v>315</v>
      </c>
      <c r="H22" s="128">
        <v>221</v>
      </c>
      <c r="I22" s="128">
        <v>163</v>
      </c>
      <c r="J22" s="191">
        <v>619</v>
      </c>
    </row>
    <row r="23" spans="1:10" ht="11.25">
      <c r="A23" s="184" t="s">
        <v>12</v>
      </c>
      <c r="B23" s="185"/>
      <c r="C23" s="185"/>
      <c r="D23" s="185"/>
      <c r="E23" s="185"/>
      <c r="F23" s="185"/>
      <c r="G23" s="185"/>
      <c r="H23" s="185"/>
      <c r="I23" s="185"/>
      <c r="J23" s="186"/>
    </row>
    <row r="24" spans="1:10" ht="11.25">
      <c r="A24" s="127" t="s">
        <v>106</v>
      </c>
      <c r="B24" s="188">
        <v>28595</v>
      </c>
      <c r="C24" s="128">
        <v>4207</v>
      </c>
      <c r="D24" s="128">
        <v>6455</v>
      </c>
      <c r="E24" s="128">
        <v>5299</v>
      </c>
      <c r="F24" s="128">
        <v>4466</v>
      </c>
      <c r="G24" s="128">
        <v>2979</v>
      </c>
      <c r="H24" s="128">
        <v>1663</v>
      </c>
      <c r="I24" s="128">
        <v>1124</v>
      </c>
      <c r="J24" s="191">
        <v>2402</v>
      </c>
    </row>
    <row r="25" spans="1:10" ht="11.25">
      <c r="A25" s="127" t="s">
        <v>107</v>
      </c>
      <c r="B25" s="188">
        <v>11305</v>
      </c>
      <c r="C25" s="128">
        <v>1451</v>
      </c>
      <c r="D25" s="128">
        <v>2327</v>
      </c>
      <c r="E25" s="128">
        <v>2122</v>
      </c>
      <c r="F25" s="128">
        <v>2023</v>
      </c>
      <c r="G25" s="128">
        <v>1312</v>
      </c>
      <c r="H25" s="128">
        <v>788</v>
      </c>
      <c r="I25" s="128">
        <v>476</v>
      </c>
      <c r="J25" s="191">
        <v>806</v>
      </c>
    </row>
    <row r="26" spans="1:10" ht="11.25">
      <c r="A26" s="127" t="s">
        <v>108</v>
      </c>
      <c r="B26" s="188">
        <v>11868</v>
      </c>
      <c r="C26" s="128">
        <v>1531</v>
      </c>
      <c r="D26" s="128">
        <v>2377</v>
      </c>
      <c r="E26" s="128">
        <v>2303</v>
      </c>
      <c r="F26" s="128">
        <v>2230</v>
      </c>
      <c r="G26" s="128">
        <v>1490</v>
      </c>
      <c r="H26" s="128">
        <v>811</v>
      </c>
      <c r="I26" s="128">
        <v>436</v>
      </c>
      <c r="J26" s="191">
        <v>690</v>
      </c>
    </row>
    <row r="27" spans="1:10" ht="11.25">
      <c r="A27" s="127" t="s">
        <v>109</v>
      </c>
      <c r="B27" s="188">
        <v>11580</v>
      </c>
      <c r="C27" s="128">
        <v>1819</v>
      </c>
      <c r="D27" s="128">
        <v>2457</v>
      </c>
      <c r="E27" s="128">
        <v>2373</v>
      </c>
      <c r="F27" s="128">
        <v>2314</v>
      </c>
      <c r="G27" s="128">
        <v>1282</v>
      </c>
      <c r="H27" s="128">
        <v>595</v>
      </c>
      <c r="I27" s="128">
        <v>329</v>
      </c>
      <c r="J27" s="191">
        <v>411</v>
      </c>
    </row>
    <row r="28" spans="1:10" ht="11.25">
      <c r="A28" s="127" t="s">
        <v>110</v>
      </c>
      <c r="B28" s="188">
        <v>9360</v>
      </c>
      <c r="C28" s="128">
        <v>1525</v>
      </c>
      <c r="D28" s="128">
        <v>2137</v>
      </c>
      <c r="E28" s="128">
        <v>2131</v>
      </c>
      <c r="F28" s="128">
        <v>1820</v>
      </c>
      <c r="G28" s="128">
        <v>910</v>
      </c>
      <c r="H28" s="128">
        <v>406</v>
      </c>
      <c r="I28" s="128">
        <v>182</v>
      </c>
      <c r="J28" s="191">
        <v>249</v>
      </c>
    </row>
    <row r="29" spans="1:10" ht="11.25">
      <c r="A29" s="184" t="s">
        <v>13</v>
      </c>
      <c r="B29" s="185"/>
      <c r="C29" s="185"/>
      <c r="D29" s="185"/>
      <c r="E29" s="185"/>
      <c r="F29" s="185"/>
      <c r="G29" s="185"/>
      <c r="H29" s="185"/>
      <c r="I29" s="185"/>
      <c r="J29" s="186"/>
    </row>
    <row r="30" spans="1:10" ht="11.25">
      <c r="A30" s="187" t="str">
        <f>_xlfn.COMPOUNDVALUE(2320)</f>
        <v>Dur : parpaings, ciment</v>
      </c>
      <c r="B30" s="192">
        <v>40664</v>
      </c>
      <c r="C30" s="128">
        <v>5813</v>
      </c>
      <c r="D30" s="128">
        <v>9506</v>
      </c>
      <c r="E30" s="128">
        <v>8280</v>
      </c>
      <c r="F30" s="128">
        <v>7301</v>
      </c>
      <c r="G30" s="128">
        <v>4209</v>
      </c>
      <c r="H30" s="128">
        <v>2107</v>
      </c>
      <c r="I30" s="128">
        <v>1237</v>
      </c>
      <c r="J30" s="191">
        <v>2211</v>
      </c>
    </row>
    <row r="31" spans="1:10" ht="11.25">
      <c r="A31" s="187" t="str">
        <f>_xlfn.COMPOUNDVALUE(2321)</f>
        <v>Bois, contreplaqué, pinex, fibro</v>
      </c>
      <c r="B31" s="192">
        <v>30700</v>
      </c>
      <c r="C31" s="128">
        <v>4402</v>
      </c>
      <c r="D31" s="128">
        <v>5918</v>
      </c>
      <c r="E31" s="128">
        <v>5712</v>
      </c>
      <c r="F31" s="128">
        <v>5324</v>
      </c>
      <c r="G31" s="128">
        <v>3670</v>
      </c>
      <c r="H31" s="128">
        <v>2109</v>
      </c>
      <c r="I31" s="128">
        <v>1278</v>
      </c>
      <c r="J31" s="191">
        <v>2287</v>
      </c>
    </row>
    <row r="32" spans="1:10" ht="11.25">
      <c r="A32" s="127" t="s">
        <v>113</v>
      </c>
      <c r="B32" s="192">
        <v>210</v>
      </c>
      <c r="C32" s="128">
        <v>67</v>
      </c>
      <c r="D32" s="128">
        <v>56</v>
      </c>
      <c r="E32" s="128">
        <v>40</v>
      </c>
      <c r="F32" s="128">
        <v>30</v>
      </c>
      <c r="G32" s="128">
        <v>5</v>
      </c>
      <c r="H32" s="128">
        <v>2</v>
      </c>
      <c r="I32" s="128">
        <v>4</v>
      </c>
      <c r="J32" s="191">
        <v>6</v>
      </c>
    </row>
    <row r="33" spans="1:10" ht="11.25">
      <c r="A33" s="187" t="s">
        <v>188</v>
      </c>
      <c r="B33" s="192">
        <v>1134</v>
      </c>
      <c r="C33" s="188">
        <v>251</v>
      </c>
      <c r="D33" s="188">
        <v>273</v>
      </c>
      <c r="E33" s="188">
        <v>196</v>
      </c>
      <c r="F33" s="188">
        <v>198</v>
      </c>
      <c r="G33" s="188">
        <v>89</v>
      </c>
      <c r="H33" s="188">
        <v>45</v>
      </c>
      <c r="I33" s="188">
        <v>28</v>
      </c>
      <c r="J33" s="189">
        <v>54</v>
      </c>
    </row>
    <row r="34" spans="1:10" ht="11.25">
      <c r="A34" s="184" t="s">
        <v>14</v>
      </c>
      <c r="B34" s="185"/>
      <c r="C34" s="185"/>
      <c r="D34" s="185"/>
      <c r="E34" s="185"/>
      <c r="F34" s="185"/>
      <c r="G34" s="185"/>
      <c r="H34" s="185"/>
      <c r="I34" s="185"/>
      <c r="J34" s="186"/>
    </row>
    <row r="35" spans="1:10" ht="11.25">
      <c r="A35" s="193" t="s">
        <v>114</v>
      </c>
      <c r="B35" s="128">
        <v>67597</v>
      </c>
      <c r="C35" s="128">
        <v>9240</v>
      </c>
      <c r="D35" s="128">
        <v>14192</v>
      </c>
      <c r="E35" s="128">
        <v>13230</v>
      </c>
      <c r="F35" s="128">
        <v>12175</v>
      </c>
      <c r="G35" s="128">
        <v>7654</v>
      </c>
      <c r="H35" s="128">
        <v>4149</v>
      </c>
      <c r="I35" s="128">
        <v>2484</v>
      </c>
      <c r="J35" s="191">
        <v>4473</v>
      </c>
    </row>
    <row r="36" spans="1:10" ht="11.25">
      <c r="A36" s="193" t="s">
        <v>116</v>
      </c>
      <c r="B36" s="128">
        <v>1996</v>
      </c>
      <c r="C36" s="128">
        <v>365</v>
      </c>
      <c r="D36" s="128">
        <v>624</v>
      </c>
      <c r="E36" s="128">
        <v>442</v>
      </c>
      <c r="F36" s="128">
        <v>315</v>
      </c>
      <c r="G36" s="128">
        <v>151</v>
      </c>
      <c r="H36" s="128">
        <v>47</v>
      </c>
      <c r="I36" s="128">
        <v>23</v>
      </c>
      <c r="J36" s="191">
        <v>29</v>
      </c>
    </row>
    <row r="37" spans="1:10" ht="11.25">
      <c r="A37" s="193" t="s">
        <v>117</v>
      </c>
      <c r="B37" s="128">
        <v>2431</v>
      </c>
      <c r="C37" s="128">
        <v>737</v>
      </c>
      <c r="D37" s="128">
        <v>698</v>
      </c>
      <c r="E37" s="128">
        <v>441</v>
      </c>
      <c r="F37" s="128">
        <v>289</v>
      </c>
      <c r="G37" s="128">
        <v>131</v>
      </c>
      <c r="H37" s="128">
        <v>56</v>
      </c>
      <c r="I37" s="128">
        <v>30</v>
      </c>
      <c r="J37" s="191">
        <v>49</v>
      </c>
    </row>
    <row r="38" spans="1:10" ht="11.25">
      <c r="A38" s="193" t="s">
        <v>118</v>
      </c>
      <c r="B38" s="128">
        <v>280</v>
      </c>
      <c r="C38" s="128">
        <v>98</v>
      </c>
      <c r="D38" s="128">
        <v>81</v>
      </c>
      <c r="E38" s="128">
        <v>46</v>
      </c>
      <c r="F38" s="128">
        <v>28</v>
      </c>
      <c r="G38" s="128">
        <v>18</v>
      </c>
      <c r="H38" s="128">
        <v>4</v>
      </c>
      <c r="I38" s="128">
        <v>2</v>
      </c>
      <c r="J38" s="191">
        <v>3</v>
      </c>
    </row>
    <row r="39" spans="1:10" ht="11.25">
      <c r="A39" s="194" t="s">
        <v>119</v>
      </c>
      <c r="B39" s="195">
        <v>404</v>
      </c>
      <c r="C39" s="188">
        <v>93</v>
      </c>
      <c r="D39" s="188">
        <v>158</v>
      </c>
      <c r="E39" s="188">
        <v>69</v>
      </c>
      <c r="F39" s="188">
        <v>46</v>
      </c>
      <c r="G39" s="188">
        <v>19</v>
      </c>
      <c r="H39" s="188">
        <v>7</v>
      </c>
      <c r="I39" s="188">
        <v>8</v>
      </c>
      <c r="J39" s="189">
        <v>4</v>
      </c>
    </row>
    <row r="40" spans="1:10" ht="11.25">
      <c r="A40" s="184" t="s">
        <v>15</v>
      </c>
      <c r="B40" s="185"/>
      <c r="C40" s="185"/>
      <c r="D40" s="185"/>
      <c r="E40" s="185"/>
      <c r="F40" s="185"/>
      <c r="G40" s="185"/>
      <c r="H40" s="185"/>
      <c r="I40" s="185"/>
      <c r="J40" s="186"/>
    </row>
    <row r="41" spans="1:10" ht="11.25">
      <c r="A41" s="187" t="str">
        <f>_xlfn.COMPOUNDVALUE(2322)</f>
        <v>Béton</v>
      </c>
      <c r="B41" s="188">
        <v>56847</v>
      </c>
      <c r="C41" s="128">
        <v>8022</v>
      </c>
      <c r="D41" s="128">
        <v>12636</v>
      </c>
      <c r="E41" s="128">
        <v>11346</v>
      </c>
      <c r="F41" s="128">
        <v>10107</v>
      </c>
      <c r="G41" s="128">
        <v>6100</v>
      </c>
      <c r="H41" s="128">
        <v>3215</v>
      </c>
      <c r="I41" s="128">
        <v>1936</v>
      </c>
      <c r="J41" s="191">
        <v>3485</v>
      </c>
    </row>
    <row r="42" spans="1:10" ht="11.25">
      <c r="A42" s="187" t="str">
        <f>_xlfn.COMPOUNDVALUE(2323)</f>
        <v>Bois</v>
      </c>
      <c r="B42" s="188">
        <v>14901</v>
      </c>
      <c r="C42" s="128">
        <v>2260</v>
      </c>
      <c r="D42" s="128">
        <v>2882</v>
      </c>
      <c r="E42" s="128">
        <v>2733</v>
      </c>
      <c r="F42" s="128">
        <v>2620</v>
      </c>
      <c r="G42" s="128">
        <v>1790</v>
      </c>
      <c r="H42" s="128">
        <v>1006</v>
      </c>
      <c r="I42" s="128">
        <v>582</v>
      </c>
      <c r="J42" s="191">
        <v>1028</v>
      </c>
    </row>
    <row r="43" spans="1:10" ht="11.25">
      <c r="A43" s="187" t="s">
        <v>121</v>
      </c>
      <c r="B43" s="188">
        <v>475</v>
      </c>
      <c r="C43" s="128">
        <v>150</v>
      </c>
      <c r="D43" s="128">
        <v>101</v>
      </c>
      <c r="E43" s="128">
        <v>79</v>
      </c>
      <c r="F43" s="128">
        <v>52</v>
      </c>
      <c r="G43" s="128">
        <v>38</v>
      </c>
      <c r="H43" s="128">
        <v>22</v>
      </c>
      <c r="I43" s="128">
        <v>13</v>
      </c>
      <c r="J43" s="191">
        <v>20</v>
      </c>
    </row>
    <row r="44" spans="1:10" ht="11.25">
      <c r="A44" s="187" t="str">
        <f>_xlfn.COMPOUNDVALUE(2324)</f>
        <v>Autres</v>
      </c>
      <c r="B44" s="188">
        <v>485</v>
      </c>
      <c r="C44" s="188">
        <v>101</v>
      </c>
      <c r="D44" s="188">
        <v>134</v>
      </c>
      <c r="E44" s="188">
        <v>70</v>
      </c>
      <c r="F44" s="188">
        <v>74</v>
      </c>
      <c r="G44" s="188">
        <v>45</v>
      </c>
      <c r="H44" s="188">
        <v>20</v>
      </c>
      <c r="I44" s="188">
        <v>16</v>
      </c>
      <c r="J44" s="189">
        <v>25</v>
      </c>
    </row>
    <row r="45" spans="1:10" ht="11.25">
      <c r="A45" s="184" t="s">
        <v>16</v>
      </c>
      <c r="B45" s="185"/>
      <c r="C45" s="185"/>
      <c r="D45" s="185"/>
      <c r="E45" s="185"/>
      <c r="F45" s="185"/>
      <c r="G45" s="185"/>
      <c r="H45" s="185"/>
      <c r="I45" s="185"/>
      <c r="J45" s="186"/>
    </row>
    <row r="46" spans="1:10" ht="11.25">
      <c r="A46" s="187" t="str">
        <f>_xlfn.COMPOUNDVALUE(2325)</f>
        <v>Une cuisine intérieure au moins</v>
      </c>
      <c r="B46" s="128">
        <v>68193</v>
      </c>
      <c r="C46" s="128">
        <v>9746</v>
      </c>
      <c r="D46" s="128">
        <v>14974</v>
      </c>
      <c r="E46" s="128">
        <v>13457</v>
      </c>
      <c r="F46" s="128">
        <v>12177</v>
      </c>
      <c r="G46" s="128">
        <v>7487</v>
      </c>
      <c r="H46" s="128">
        <v>3918</v>
      </c>
      <c r="I46" s="128">
        <v>2334</v>
      </c>
      <c r="J46" s="191">
        <v>4100</v>
      </c>
    </row>
    <row r="47" spans="1:10" ht="11.25">
      <c r="A47" s="187" t="str">
        <f>_xlfn.COMPOUNDVALUE(2326)</f>
        <v>Cuisine(s) extérieure(s)</v>
      </c>
      <c r="B47" s="128">
        <v>3742</v>
      </c>
      <c r="C47" s="128">
        <v>445</v>
      </c>
      <c r="D47" s="128">
        <v>620</v>
      </c>
      <c r="E47" s="128">
        <v>652</v>
      </c>
      <c r="F47" s="128">
        <v>600</v>
      </c>
      <c r="G47" s="128">
        <v>453</v>
      </c>
      <c r="H47" s="128">
        <v>323</v>
      </c>
      <c r="I47" s="128">
        <v>207</v>
      </c>
      <c r="J47" s="191">
        <v>442</v>
      </c>
    </row>
    <row r="48" spans="1:10" ht="11.25">
      <c r="A48" s="187" t="str">
        <f>_xlfn.COMPOUNDVALUE(2327)</f>
        <v>Pas de cuisine</v>
      </c>
      <c r="B48" s="128">
        <v>773</v>
      </c>
      <c r="C48" s="128">
        <v>342</v>
      </c>
      <c r="D48" s="128">
        <v>159</v>
      </c>
      <c r="E48" s="128">
        <v>119</v>
      </c>
      <c r="F48" s="128">
        <v>76</v>
      </c>
      <c r="G48" s="128">
        <v>33</v>
      </c>
      <c r="H48" s="128">
        <v>22</v>
      </c>
      <c r="I48" s="128">
        <v>6</v>
      </c>
      <c r="J48" s="191">
        <v>16</v>
      </c>
    </row>
    <row r="49" spans="1:10" ht="11.25">
      <c r="A49" s="184" t="s">
        <v>17</v>
      </c>
      <c r="B49" s="185"/>
      <c r="C49" s="185"/>
      <c r="D49" s="185"/>
      <c r="E49" s="185"/>
      <c r="F49" s="185"/>
      <c r="G49" s="185"/>
      <c r="H49" s="185"/>
      <c r="I49" s="185"/>
      <c r="J49" s="186"/>
    </row>
    <row r="50" spans="1:10" ht="11.25">
      <c r="A50" s="187" t="str">
        <f>_xlfn.COMPOUNDVALUE(2328)</f>
        <v>Electricité et eau</v>
      </c>
      <c r="B50" s="188">
        <v>70131</v>
      </c>
      <c r="C50" s="188">
        <v>9919</v>
      </c>
      <c r="D50" s="188">
        <v>15229</v>
      </c>
      <c r="E50" s="188">
        <v>13761</v>
      </c>
      <c r="F50" s="188">
        <v>12476</v>
      </c>
      <c r="G50" s="188">
        <v>7725</v>
      </c>
      <c r="H50" s="188">
        <v>4128</v>
      </c>
      <c r="I50" s="188">
        <v>2465</v>
      </c>
      <c r="J50" s="189">
        <v>4428</v>
      </c>
    </row>
    <row r="51" spans="1:10" ht="11.25">
      <c r="A51" s="187" t="s">
        <v>19</v>
      </c>
      <c r="B51" s="188">
        <v>1330</v>
      </c>
      <c r="C51" s="188">
        <v>159</v>
      </c>
      <c r="D51" s="188">
        <v>262</v>
      </c>
      <c r="E51" s="188">
        <v>254</v>
      </c>
      <c r="F51" s="188">
        <v>239</v>
      </c>
      <c r="G51" s="188">
        <v>156</v>
      </c>
      <c r="H51" s="188">
        <v>96</v>
      </c>
      <c r="I51" s="188">
        <v>60</v>
      </c>
      <c r="J51" s="189">
        <v>104</v>
      </c>
    </row>
    <row r="52" spans="1:10" ht="11.25">
      <c r="A52" s="187" t="s">
        <v>20</v>
      </c>
      <c r="B52" s="188">
        <v>998</v>
      </c>
      <c r="C52" s="188">
        <v>337</v>
      </c>
      <c r="D52" s="188">
        <v>221</v>
      </c>
      <c r="E52" s="188">
        <v>166</v>
      </c>
      <c r="F52" s="188">
        <v>123</v>
      </c>
      <c r="G52" s="188">
        <v>79</v>
      </c>
      <c r="H52" s="188">
        <v>31</v>
      </c>
      <c r="I52" s="188">
        <v>20</v>
      </c>
      <c r="J52" s="189">
        <v>21</v>
      </c>
    </row>
    <row r="53" spans="1:10" ht="11.25">
      <c r="A53" s="187" t="s">
        <v>21</v>
      </c>
      <c r="B53" s="188">
        <v>249</v>
      </c>
      <c r="C53" s="188">
        <v>118</v>
      </c>
      <c r="D53" s="188">
        <v>41</v>
      </c>
      <c r="E53" s="188">
        <v>47</v>
      </c>
      <c r="F53" s="188">
        <v>15</v>
      </c>
      <c r="G53" s="188">
        <v>13</v>
      </c>
      <c r="H53" s="188">
        <v>8</v>
      </c>
      <c r="I53" s="188">
        <v>2</v>
      </c>
      <c r="J53" s="189">
        <v>5</v>
      </c>
    </row>
    <row r="54" spans="1:10" ht="11.25">
      <c r="A54" s="184" t="s">
        <v>22</v>
      </c>
      <c r="B54" s="185">
        <v>0</v>
      </c>
      <c r="C54" s="185"/>
      <c r="D54" s="185"/>
      <c r="E54" s="185"/>
      <c r="F54" s="185"/>
      <c r="G54" s="185"/>
      <c r="H54" s="185"/>
      <c r="I54" s="185"/>
      <c r="J54" s="186"/>
    </row>
    <row r="55" spans="1:10" ht="11.25">
      <c r="A55" s="187" t="s">
        <v>23</v>
      </c>
      <c r="B55" s="188">
        <v>66916</v>
      </c>
      <c r="C55" s="128">
        <v>9386</v>
      </c>
      <c r="D55" s="128">
        <v>14686</v>
      </c>
      <c r="E55" s="128">
        <v>13140</v>
      </c>
      <c r="F55" s="128">
        <v>11960</v>
      </c>
      <c r="G55" s="128">
        <v>7348</v>
      </c>
      <c r="H55" s="128">
        <v>3884</v>
      </c>
      <c r="I55" s="128">
        <v>2324</v>
      </c>
      <c r="J55" s="191">
        <v>4188</v>
      </c>
    </row>
    <row r="56" spans="1:10" ht="11.25">
      <c r="A56" s="187" t="s">
        <v>24</v>
      </c>
      <c r="B56" s="188">
        <v>580</v>
      </c>
      <c r="C56" s="128">
        <v>87</v>
      </c>
      <c r="D56" s="128">
        <v>98</v>
      </c>
      <c r="E56" s="128">
        <v>123</v>
      </c>
      <c r="F56" s="128">
        <v>101</v>
      </c>
      <c r="G56" s="128">
        <v>63</v>
      </c>
      <c r="H56" s="128">
        <v>43</v>
      </c>
      <c r="I56" s="128">
        <v>22</v>
      </c>
      <c r="J56" s="191">
        <v>43</v>
      </c>
    </row>
    <row r="57" spans="1:10" ht="11.25">
      <c r="A57" s="187" t="s">
        <v>25</v>
      </c>
      <c r="B57" s="188">
        <v>1109</v>
      </c>
      <c r="C57" s="128">
        <v>200</v>
      </c>
      <c r="D57" s="128">
        <v>207</v>
      </c>
      <c r="E57" s="128">
        <v>209</v>
      </c>
      <c r="F57" s="128">
        <v>172</v>
      </c>
      <c r="G57" s="128">
        <v>128</v>
      </c>
      <c r="H57" s="128">
        <v>83</v>
      </c>
      <c r="I57" s="128">
        <v>42</v>
      </c>
      <c r="J57" s="191">
        <v>68</v>
      </c>
    </row>
    <row r="58" spans="1:10" ht="11.25">
      <c r="A58" s="187" t="s">
        <v>26</v>
      </c>
      <c r="B58" s="188">
        <v>4103</v>
      </c>
      <c r="C58" s="128">
        <v>860</v>
      </c>
      <c r="D58" s="128">
        <v>762</v>
      </c>
      <c r="E58" s="128">
        <v>756</v>
      </c>
      <c r="F58" s="128">
        <v>620</v>
      </c>
      <c r="G58" s="128">
        <v>434</v>
      </c>
      <c r="H58" s="128">
        <v>253</v>
      </c>
      <c r="I58" s="128">
        <v>159</v>
      </c>
      <c r="J58" s="191">
        <v>259</v>
      </c>
    </row>
    <row r="59" spans="1:10" ht="11.25">
      <c r="A59" s="184" t="s">
        <v>127</v>
      </c>
      <c r="B59" s="185">
        <v>0</v>
      </c>
      <c r="C59" s="185"/>
      <c r="D59" s="185"/>
      <c r="E59" s="185"/>
      <c r="F59" s="185"/>
      <c r="G59" s="185"/>
      <c r="H59" s="185"/>
      <c r="I59" s="185"/>
      <c r="J59" s="186"/>
    </row>
    <row r="60" spans="1:10" ht="11.25">
      <c r="A60" s="187" t="str">
        <f>_xlfn.COMPOUNDVALUE(2329)</f>
        <v>Réseau général</v>
      </c>
      <c r="B60" s="188">
        <v>69578</v>
      </c>
      <c r="C60" s="128">
        <v>9755</v>
      </c>
      <c r="D60" s="128">
        <v>15071</v>
      </c>
      <c r="E60" s="128">
        <v>13659</v>
      </c>
      <c r="F60" s="128">
        <v>12404</v>
      </c>
      <c r="G60" s="128">
        <v>7675</v>
      </c>
      <c r="H60" s="128">
        <v>4113</v>
      </c>
      <c r="I60" s="128">
        <v>2460</v>
      </c>
      <c r="J60" s="191">
        <v>4441</v>
      </c>
    </row>
    <row r="61" spans="1:10" ht="11.25">
      <c r="A61" s="187" t="str">
        <f>_xlfn.COMPOUNDVALUE(2330)</f>
        <v>Groupe électrogène</v>
      </c>
      <c r="B61" s="188">
        <v>894</v>
      </c>
      <c r="C61" s="128">
        <v>140</v>
      </c>
      <c r="D61" s="128">
        <v>166</v>
      </c>
      <c r="E61" s="128">
        <v>155</v>
      </c>
      <c r="F61" s="128">
        <v>151</v>
      </c>
      <c r="G61" s="128">
        <v>114</v>
      </c>
      <c r="H61" s="128">
        <v>61</v>
      </c>
      <c r="I61" s="128">
        <v>36</v>
      </c>
      <c r="J61" s="191">
        <v>71</v>
      </c>
    </row>
    <row r="62" spans="1:10" ht="11.25">
      <c r="A62" s="187" t="str">
        <f>_xlfn.COMPOUNDVALUE(2331)</f>
        <v>Panneaux solaires</v>
      </c>
      <c r="B62" s="188">
        <v>972</v>
      </c>
      <c r="C62" s="128">
        <v>177</v>
      </c>
      <c r="D62" s="128">
        <v>253</v>
      </c>
      <c r="E62" s="128">
        <v>199</v>
      </c>
      <c r="F62" s="128">
        <v>154</v>
      </c>
      <c r="G62" s="128">
        <v>90</v>
      </c>
      <c r="H62" s="128">
        <v>50</v>
      </c>
      <c r="I62" s="128">
        <v>29</v>
      </c>
      <c r="J62" s="191">
        <v>20</v>
      </c>
    </row>
    <row r="63" spans="1:10" ht="11.25">
      <c r="A63" s="187" t="str">
        <f>_xlfn.COMPOUNDVALUE(2332)</f>
        <v>Eolienne</v>
      </c>
      <c r="B63" s="188">
        <v>17</v>
      </c>
      <c r="C63" s="128">
        <v>6</v>
      </c>
      <c r="D63" s="128">
        <v>1</v>
      </c>
      <c r="E63" s="128">
        <v>2</v>
      </c>
      <c r="F63" s="128">
        <v>6</v>
      </c>
      <c r="G63" s="128">
        <v>2</v>
      </c>
      <c r="H63" s="190"/>
      <c r="I63" s="190"/>
      <c r="J63" s="210"/>
    </row>
    <row r="64" spans="1:10" ht="11.25">
      <c r="A64" s="187" t="str">
        <f>_xlfn.COMPOUNDVALUE(2333)</f>
        <v>Eclairage précaire</v>
      </c>
      <c r="B64" s="188">
        <v>1179</v>
      </c>
      <c r="C64" s="128">
        <v>435</v>
      </c>
      <c r="D64" s="128">
        <v>249</v>
      </c>
      <c r="E64" s="128">
        <v>198</v>
      </c>
      <c r="F64" s="128">
        <v>130</v>
      </c>
      <c r="G64" s="128">
        <v>87</v>
      </c>
      <c r="H64" s="128">
        <v>34</v>
      </c>
      <c r="I64" s="128">
        <v>20</v>
      </c>
      <c r="J64" s="191">
        <v>26</v>
      </c>
    </row>
    <row r="65" spans="1:10" ht="11.25">
      <c r="A65" s="187" t="str">
        <f>_xlfn.COMPOUNDVALUE(2334)</f>
        <v>Pas d’éclairage</v>
      </c>
      <c r="B65" s="188">
        <v>68</v>
      </c>
      <c r="C65" s="128">
        <v>20</v>
      </c>
      <c r="D65" s="128">
        <v>13</v>
      </c>
      <c r="E65" s="128">
        <v>15</v>
      </c>
      <c r="F65" s="128">
        <v>8</v>
      </c>
      <c r="G65" s="128">
        <v>5</v>
      </c>
      <c r="H65" s="128">
        <v>5</v>
      </c>
      <c r="I65" s="128">
        <v>2</v>
      </c>
      <c r="J65" s="210"/>
    </row>
    <row r="66" spans="1:10" ht="11.25">
      <c r="A66" s="184" t="s">
        <v>28</v>
      </c>
      <c r="B66" s="185">
        <v>0</v>
      </c>
      <c r="C66" s="185"/>
      <c r="D66" s="185"/>
      <c r="E66" s="185"/>
      <c r="F66" s="185"/>
      <c r="G66" s="185"/>
      <c r="H66" s="185"/>
      <c r="I66" s="185"/>
      <c r="J66" s="186"/>
    </row>
    <row r="67" spans="1:10" ht="11.25">
      <c r="A67" s="187" t="str">
        <f>_xlfn.COMPOUNDVALUE(2335)</f>
        <v>Eau courante à l’intérieur du logement</v>
      </c>
      <c r="B67" s="188">
        <v>65655</v>
      </c>
      <c r="C67" s="128">
        <v>9279</v>
      </c>
      <c r="D67" s="128">
        <v>14292</v>
      </c>
      <c r="E67" s="128">
        <v>12894</v>
      </c>
      <c r="F67" s="128">
        <v>11697</v>
      </c>
      <c r="G67" s="128">
        <v>7229</v>
      </c>
      <c r="H67" s="128">
        <v>3803</v>
      </c>
      <c r="I67" s="128">
        <v>2280</v>
      </c>
      <c r="J67" s="191">
        <v>4181</v>
      </c>
    </row>
    <row r="68" spans="1:10" ht="11.25">
      <c r="A68" s="187" t="str">
        <f>_xlfn.COMPOUNDVALUE(2336)</f>
        <v>Point d’eau individuel à l’extérieur du logement</v>
      </c>
      <c r="B68" s="188">
        <v>5474</v>
      </c>
      <c r="C68" s="128">
        <v>977</v>
      </c>
      <c r="D68" s="128">
        <v>1158</v>
      </c>
      <c r="E68" s="128">
        <v>1033</v>
      </c>
      <c r="F68" s="128">
        <v>902</v>
      </c>
      <c r="G68" s="128">
        <v>575</v>
      </c>
      <c r="H68" s="128">
        <v>356</v>
      </c>
      <c r="I68" s="128">
        <v>205</v>
      </c>
      <c r="J68" s="191">
        <v>268</v>
      </c>
    </row>
    <row r="69" spans="1:10" ht="11.25">
      <c r="A69" s="196" t="str">
        <f>_xlfn.COMPOUNDVALUE(2337)</f>
        <v>Pas de point d’eau individuel mais point d’eau collectif</v>
      </c>
      <c r="B69" s="188">
        <v>1579</v>
      </c>
      <c r="C69" s="128">
        <v>277</v>
      </c>
      <c r="D69" s="128">
        <v>303</v>
      </c>
      <c r="E69" s="128">
        <v>301</v>
      </c>
      <c r="F69" s="128">
        <v>254</v>
      </c>
      <c r="G69" s="128">
        <v>169</v>
      </c>
      <c r="H69" s="128">
        <v>104</v>
      </c>
      <c r="I69" s="128">
        <v>62</v>
      </c>
      <c r="J69" s="191">
        <v>109</v>
      </c>
    </row>
    <row r="70" spans="1:10" ht="11.25">
      <c r="A70" s="184" t="s">
        <v>29</v>
      </c>
      <c r="B70" s="185"/>
      <c r="C70" s="185"/>
      <c r="D70" s="185"/>
      <c r="E70" s="185"/>
      <c r="F70" s="185"/>
      <c r="G70" s="185"/>
      <c r="H70" s="185"/>
      <c r="I70" s="185"/>
      <c r="J70" s="186"/>
    </row>
    <row r="71" spans="1:10" ht="11.25">
      <c r="A71" s="187" t="str">
        <f>_xlfn.COMPOUNDVALUE(2338)</f>
        <v>Réseau général</v>
      </c>
      <c r="B71" s="188">
        <v>65447</v>
      </c>
      <c r="C71" s="128">
        <v>9312</v>
      </c>
      <c r="D71" s="128">
        <v>14141</v>
      </c>
      <c r="E71" s="128">
        <v>12801</v>
      </c>
      <c r="F71" s="128">
        <v>11648</v>
      </c>
      <c r="G71" s="128">
        <v>7202</v>
      </c>
      <c r="H71" s="128">
        <v>3818</v>
      </c>
      <c r="I71" s="128">
        <v>2300</v>
      </c>
      <c r="J71" s="191">
        <v>4225</v>
      </c>
    </row>
    <row r="72" spans="1:10" ht="11.25">
      <c r="A72" s="187" t="str">
        <f>_xlfn.COMPOUNDVALUE(2339)</f>
        <v>Installation privée</v>
      </c>
      <c r="B72" s="188">
        <v>7261</v>
      </c>
      <c r="C72" s="128">
        <v>1221</v>
      </c>
      <c r="D72" s="128">
        <v>1612</v>
      </c>
      <c r="E72" s="128">
        <v>1427</v>
      </c>
      <c r="F72" s="128">
        <v>1205</v>
      </c>
      <c r="G72" s="128">
        <v>771</v>
      </c>
      <c r="H72" s="128">
        <v>445</v>
      </c>
      <c r="I72" s="128">
        <v>247</v>
      </c>
      <c r="J72" s="191">
        <v>333</v>
      </c>
    </row>
    <row r="73" spans="1:10" ht="11.25">
      <c r="A73" s="184" t="s">
        <v>30</v>
      </c>
      <c r="B73" s="185"/>
      <c r="C73" s="185"/>
      <c r="D73" s="185"/>
      <c r="E73" s="185"/>
      <c r="F73" s="185"/>
      <c r="G73" s="185"/>
      <c r="H73" s="185"/>
      <c r="I73" s="185"/>
      <c r="J73" s="186"/>
    </row>
    <row r="74" spans="1:10" ht="11.25">
      <c r="A74" s="187" t="str">
        <f>_xlfn.COMPOUNDVALUE(2340)</f>
        <v>Réseau collectif (égout)</v>
      </c>
      <c r="B74" s="188">
        <v>12697</v>
      </c>
      <c r="C74" s="128">
        <v>2206</v>
      </c>
      <c r="D74" s="128">
        <v>2846</v>
      </c>
      <c r="E74" s="128">
        <v>2356</v>
      </c>
      <c r="F74" s="128">
        <v>2083</v>
      </c>
      <c r="G74" s="128">
        <v>1225</v>
      </c>
      <c r="H74" s="128">
        <v>621</v>
      </c>
      <c r="I74" s="128">
        <v>417</v>
      </c>
      <c r="J74" s="191">
        <v>943</v>
      </c>
    </row>
    <row r="75" spans="1:10" ht="11.25">
      <c r="A75" s="187" t="str">
        <f>_xlfn.COMPOUNDVALUE(2341)</f>
        <v>Fosse individuelle</v>
      </c>
      <c r="B75" s="188">
        <v>58006</v>
      </c>
      <c r="C75" s="128">
        <v>7887</v>
      </c>
      <c r="D75" s="128">
        <v>12528</v>
      </c>
      <c r="E75" s="128">
        <v>11489</v>
      </c>
      <c r="F75" s="128">
        <v>10481</v>
      </c>
      <c r="G75" s="128">
        <v>6549</v>
      </c>
      <c r="H75" s="128">
        <v>3522</v>
      </c>
      <c r="I75" s="128">
        <v>2051</v>
      </c>
      <c r="J75" s="191">
        <v>3499</v>
      </c>
    </row>
    <row r="76" spans="1:10" ht="11.25">
      <c r="A76" s="187" t="str">
        <f>_xlfn.COMPOUNDVALUE(2342)</f>
        <v>A même le sol (ou dirigé vers un fossé, une rivière)</v>
      </c>
      <c r="B76" s="188">
        <v>2005</v>
      </c>
      <c r="C76" s="128">
        <v>440</v>
      </c>
      <c r="D76" s="128">
        <v>379</v>
      </c>
      <c r="E76" s="128">
        <v>383</v>
      </c>
      <c r="F76" s="128">
        <v>289</v>
      </c>
      <c r="G76" s="128">
        <v>199</v>
      </c>
      <c r="H76" s="128">
        <v>120</v>
      </c>
      <c r="I76" s="128">
        <v>79</v>
      </c>
      <c r="J76" s="191">
        <v>116</v>
      </c>
    </row>
    <row r="77" spans="1:10" ht="11.25">
      <c r="A77" s="184" t="s">
        <v>43</v>
      </c>
      <c r="B77" s="185"/>
      <c r="C77" s="185"/>
      <c r="D77" s="185"/>
      <c r="E77" s="185"/>
      <c r="F77" s="185"/>
      <c r="G77" s="185"/>
      <c r="H77" s="185"/>
      <c r="I77" s="185"/>
      <c r="J77" s="186"/>
    </row>
    <row r="78" spans="1:10" ht="11.25">
      <c r="A78" s="187" t="str">
        <f>_xlfn.COMPOUNDVALUE(2343)</f>
        <v>Douche ou baignoire intérieure</v>
      </c>
      <c r="B78" s="197">
        <v>0.928</v>
      </c>
      <c r="C78" s="198">
        <v>0.8993639039210102</v>
      </c>
      <c r="D78" s="198">
        <v>0.9384879070653209</v>
      </c>
      <c r="E78" s="198">
        <v>0.9321759910036548</v>
      </c>
      <c r="F78" s="198">
        <v>0.9383801447132966</v>
      </c>
      <c r="G78" s="198">
        <v>0.9295121033488022</v>
      </c>
      <c r="H78" s="198">
        <v>0.9211822660098522</v>
      </c>
      <c r="I78" s="198">
        <v>0.9210836277974087</v>
      </c>
      <c r="J78" s="199">
        <v>0.928258007898201</v>
      </c>
    </row>
    <row r="79" spans="1:10" ht="11.25">
      <c r="A79" s="187" t="str">
        <f>_xlfn.COMPOUNDVALUE(2344)</f>
        <v>WC intérieur</v>
      </c>
      <c r="B79" s="197">
        <v>0.936</v>
      </c>
      <c r="C79" s="198">
        <v>0.9100920915218836</v>
      </c>
      <c r="D79" s="198">
        <v>0.9454072240208214</v>
      </c>
      <c r="E79" s="198">
        <v>0.9382204104582513</v>
      </c>
      <c r="F79" s="198">
        <v>0.9439041468917763</v>
      </c>
      <c r="G79" s="198">
        <v>0.9376646180860404</v>
      </c>
      <c r="H79" s="198">
        <v>0.930565329580108</v>
      </c>
      <c r="I79" s="198">
        <v>0.9289360031409502</v>
      </c>
      <c r="J79" s="199">
        <v>0.9337428696796841</v>
      </c>
    </row>
    <row r="80" spans="1:10" ht="11.25">
      <c r="A80" s="187" t="str">
        <f>_xlfn.COMPOUNDVALUE(2345)</f>
        <v>Pièce climatisée</v>
      </c>
      <c r="B80" s="197">
        <v>0.189</v>
      </c>
      <c r="C80" s="197">
        <v>0.2307035032754201</v>
      </c>
      <c r="D80" s="197">
        <v>0.25233288897352885</v>
      </c>
      <c r="E80" s="197">
        <v>0.20389373067191455</v>
      </c>
      <c r="F80" s="197">
        <v>0.19878627557768613</v>
      </c>
      <c r="G80" s="197">
        <v>0.13733851749655085</v>
      </c>
      <c r="H80" s="197">
        <v>0.09406521229181328</v>
      </c>
      <c r="I80" s="197">
        <v>0.0691009030231645</v>
      </c>
      <c r="J80" s="200">
        <v>0.050241333918385256</v>
      </c>
    </row>
    <row r="81" spans="1:10" ht="11.25">
      <c r="A81" s="187" t="str">
        <f>_xlfn.COMPOUNDVALUE(2346)</f>
        <v>Chauffe-eau électrique ou à gaz</v>
      </c>
      <c r="B81" s="197">
        <v>0.426</v>
      </c>
      <c r="C81" s="197">
        <v>0.4484002658311972</v>
      </c>
      <c r="D81" s="197">
        <v>0.46441947565543074</v>
      </c>
      <c r="E81" s="197">
        <v>0.4422265954456002</v>
      </c>
      <c r="F81" s="197">
        <v>0.420290982649965</v>
      </c>
      <c r="G81" s="197">
        <v>0.4093816631130064</v>
      </c>
      <c r="H81" s="197">
        <v>0.3657049026507155</v>
      </c>
      <c r="I81" s="197">
        <v>0.3513937966234786</v>
      </c>
      <c r="J81" s="200">
        <v>0.33391838525669154</v>
      </c>
    </row>
    <row r="82" spans="1:10" ht="11.25">
      <c r="A82" s="187" t="str">
        <f>_xlfn.COMPOUNDVALUE(2347)</f>
        <v>Chauffe-eau solaire</v>
      </c>
      <c r="B82" s="197">
        <v>0.27</v>
      </c>
      <c r="C82" s="197">
        <v>0.219025918541726</v>
      </c>
      <c r="D82" s="197">
        <v>0.30489430584650545</v>
      </c>
      <c r="E82" s="197">
        <v>0.2975822322181614</v>
      </c>
      <c r="F82" s="197">
        <v>0.31121139033688633</v>
      </c>
      <c r="G82" s="197">
        <v>0.26401605418286717</v>
      </c>
      <c r="H82" s="197">
        <v>0.21581046211588084</v>
      </c>
      <c r="I82" s="197">
        <v>0.19356105221829603</v>
      </c>
      <c r="J82" s="200">
        <v>0.17354102676612548</v>
      </c>
    </row>
    <row r="83" spans="1:10" ht="11.25">
      <c r="A83" s="187" t="str">
        <f>_xlfn.COMPOUNDVALUE(2348)</f>
        <v>Machine à laver</v>
      </c>
      <c r="B83" s="197">
        <v>0.914</v>
      </c>
      <c r="C83" s="197">
        <v>0.7979682901357638</v>
      </c>
      <c r="D83" s="197">
        <v>0.9102393194946994</v>
      </c>
      <c r="E83" s="197">
        <v>0.9245853247118359</v>
      </c>
      <c r="F83" s="197">
        <v>0.9453824009958764</v>
      </c>
      <c r="G83" s="197">
        <v>0.9423052803210836</v>
      </c>
      <c r="H83" s="197">
        <v>0.9502697630776449</v>
      </c>
      <c r="I83" s="197">
        <v>0.9528857479387515</v>
      </c>
      <c r="J83" s="200">
        <v>0.9618253620008775</v>
      </c>
    </row>
    <row r="84" spans="1:10" ht="11.25">
      <c r="A84" s="187" t="str">
        <f>_xlfn.COMPOUNDVALUE(2349)</f>
        <v>Congélateur séparé</v>
      </c>
      <c r="B84" s="197">
        <v>0.636</v>
      </c>
      <c r="C84" s="197">
        <v>0.4038735403019083</v>
      </c>
      <c r="D84" s="201">
        <v>0.5608455532279566</v>
      </c>
      <c r="E84" s="197">
        <v>0.6301658701152657</v>
      </c>
      <c r="F84" s="197">
        <v>0.6806971135143546</v>
      </c>
      <c r="G84" s="197">
        <v>0.7470211965383168</v>
      </c>
      <c r="H84" s="197">
        <v>0.8083509265775276</v>
      </c>
      <c r="I84" s="197">
        <v>0.8166470357283078</v>
      </c>
      <c r="J84" s="200">
        <v>0.8683633172444054</v>
      </c>
    </row>
    <row r="85" spans="1:10" ht="11.25">
      <c r="A85" s="187" t="str">
        <f>_xlfn.COMPOUNDVALUE(2350)</f>
        <v>Ordinateur</v>
      </c>
      <c r="B85" s="197">
        <v>0.572</v>
      </c>
      <c r="C85" s="197">
        <v>0.44061520934206777</v>
      </c>
      <c r="D85" s="201">
        <v>0.5831905033961785</v>
      </c>
      <c r="E85" s="197">
        <v>0.6232780432949114</v>
      </c>
      <c r="F85" s="197">
        <v>0.6424181125029176</v>
      </c>
      <c r="G85" s="197">
        <v>0.5906183368869936</v>
      </c>
      <c r="H85" s="197">
        <v>0.5289702087731645</v>
      </c>
      <c r="I85" s="197">
        <v>0.5115822536317236</v>
      </c>
      <c r="J85" s="200">
        <v>0.5206230802983765</v>
      </c>
    </row>
    <row r="86" spans="1:10" ht="11.25">
      <c r="A86" s="187" t="str">
        <f>_xlfn.COMPOUNDVALUE(2351)</f>
        <v>Connexion à Internet</v>
      </c>
      <c r="B86" s="197">
        <f>_xlfn.COMPOUNDVALUE(2352)</f>
        <v>0.4597896367807872</v>
      </c>
      <c r="C86" s="197">
        <v>0.3585872970663629</v>
      </c>
      <c r="D86" s="197">
        <v>0.4807338284771155</v>
      </c>
      <c r="E86" s="197">
        <v>0.48017992690469496</v>
      </c>
      <c r="F86" s="197">
        <v>0.48751264296273245</v>
      </c>
      <c r="G86" s="197">
        <v>0.4141477486516995</v>
      </c>
      <c r="H86" s="197">
        <v>0.32676518883415434</v>
      </c>
      <c r="I86" s="197">
        <v>0.2779740871613663</v>
      </c>
      <c r="J86" s="200">
        <v>0.2612988152698552</v>
      </c>
    </row>
    <row r="87" spans="1:10" ht="11.25">
      <c r="A87" s="187" t="s">
        <v>143</v>
      </c>
      <c r="B87" s="197">
        <v>0.856</v>
      </c>
      <c r="C87" s="197">
        <v>0.7480300009493971</v>
      </c>
      <c r="D87" s="197">
        <v>0.8503777058338094</v>
      </c>
      <c r="E87" s="197">
        <v>0.8689204385718302</v>
      </c>
      <c r="F87" s="197">
        <v>0.8845405741850152</v>
      </c>
      <c r="G87" s="197">
        <v>0.8819766712655212</v>
      </c>
      <c r="H87" s="197">
        <v>0.8981937602627258</v>
      </c>
      <c r="I87" s="197">
        <v>0.8881036513545347</v>
      </c>
      <c r="J87" s="200">
        <v>0.9071961386573059</v>
      </c>
    </row>
    <row r="88" spans="1:10" ht="11.25">
      <c r="A88" s="187" t="s">
        <v>41</v>
      </c>
      <c r="B88" s="197">
        <v>0.512</v>
      </c>
      <c r="C88" s="197">
        <v>0.44431785816006836</v>
      </c>
      <c r="D88" s="197">
        <v>0.5785564654351552</v>
      </c>
      <c r="E88" s="197">
        <v>0.53605566488614</v>
      </c>
      <c r="F88" s="197">
        <v>0.5491324982494359</v>
      </c>
      <c r="G88" s="197">
        <v>0.4939169697729838</v>
      </c>
      <c r="H88" s="197">
        <v>0.45320197044334976</v>
      </c>
      <c r="I88" s="197">
        <v>0.42127993718099727</v>
      </c>
      <c r="J88" s="200">
        <v>0.3931548924967091</v>
      </c>
    </row>
    <row r="89" spans="1:10" ht="11.25">
      <c r="A89" s="187" t="s">
        <v>42</v>
      </c>
      <c r="B89" s="197">
        <v>0.899</v>
      </c>
      <c r="C89" s="197">
        <v>0.7686319187316054</v>
      </c>
      <c r="D89" s="197">
        <v>0.8912588078461245</v>
      </c>
      <c r="E89" s="197">
        <v>0.920438571830194</v>
      </c>
      <c r="F89" s="197">
        <v>0.9355792422002646</v>
      </c>
      <c r="G89" s="197">
        <v>0.9345290354947949</v>
      </c>
      <c r="H89" s="197">
        <v>0.9331456720619282</v>
      </c>
      <c r="I89" s="197">
        <v>0.9273655280722418</v>
      </c>
      <c r="J89" s="200">
        <v>0.9469065379552435</v>
      </c>
    </row>
    <row r="90" spans="1:10" ht="11.25">
      <c r="A90" s="184" t="s">
        <v>2</v>
      </c>
      <c r="B90" s="202"/>
      <c r="C90" s="202"/>
      <c r="D90" s="202"/>
      <c r="E90" s="202"/>
      <c r="F90" s="202"/>
      <c r="G90" s="202"/>
      <c r="H90" s="202"/>
      <c r="I90" s="202"/>
      <c r="J90" s="203"/>
    </row>
    <row r="91" spans="1:10" ht="11.25">
      <c r="A91" s="187" t="str">
        <f>_xlfn.COMPOUNDVALUE(2278)</f>
        <v>Pas de voiture</v>
      </c>
      <c r="B91" s="197">
        <v>0.22914947461077184</v>
      </c>
      <c r="C91" s="197">
        <v>0.4032089623089338</v>
      </c>
      <c r="D91" s="197">
        <v>0.20992826763156225</v>
      </c>
      <c r="E91" s="197">
        <v>0.18822041045825133</v>
      </c>
      <c r="F91" s="197">
        <v>0.177312689644441</v>
      </c>
      <c r="G91" s="197">
        <v>0.1997993227141603</v>
      </c>
      <c r="H91" s="197">
        <v>0.22402064273985456</v>
      </c>
      <c r="I91" s="197">
        <v>0.232037691401649</v>
      </c>
      <c r="J91" s="200">
        <v>0.22180781044317682</v>
      </c>
    </row>
    <row r="92" spans="1:10" ht="11.25">
      <c r="A92" s="187" t="str">
        <f>_xlfn.COMPOUNDVALUE(2279)</f>
        <v>1 voiture</v>
      </c>
      <c r="B92" s="197">
        <v>0.464680640369698</v>
      </c>
      <c r="C92" s="197">
        <v>0.5290990221209532</v>
      </c>
      <c r="D92" s="197">
        <v>0.5023804989525804</v>
      </c>
      <c r="E92" s="197">
        <v>0.46422547090244587</v>
      </c>
      <c r="F92" s="197">
        <v>0.431883606940014</v>
      </c>
      <c r="G92" s="197">
        <v>0.44174087545465945</v>
      </c>
      <c r="H92" s="197">
        <v>0.42646023926812104</v>
      </c>
      <c r="I92" s="197">
        <v>0.42285041224970554</v>
      </c>
      <c r="J92" s="200">
        <v>0.3786748573935937</v>
      </c>
    </row>
    <row r="93" spans="1:10" ht="11.25">
      <c r="A93" s="187" t="str">
        <f>_xlfn.COMPOUNDVALUE(2280)</f>
        <v>2 voitures</v>
      </c>
      <c r="B93" s="197">
        <v>0.24027617318589425</v>
      </c>
      <c r="C93" s="197">
        <v>0.0567739485426754</v>
      </c>
      <c r="D93" s="197">
        <v>0.2520154891131848</v>
      </c>
      <c r="E93" s="197">
        <v>0.2851419735732359</v>
      </c>
      <c r="F93" s="197">
        <v>0.3164241811250292</v>
      </c>
      <c r="G93" s="197">
        <v>0.266900790166813</v>
      </c>
      <c r="H93" s="197">
        <v>0.23856439127375087</v>
      </c>
      <c r="I93" s="197">
        <v>0.21868865331762857</v>
      </c>
      <c r="J93" s="200">
        <v>0.2360684510750329</v>
      </c>
    </row>
    <row r="94" spans="1:10" ht="11.25">
      <c r="A94" s="187" t="str">
        <f>_xlfn.COMPOUNDVALUE(2281)</f>
        <v>3 voitures ou plus</v>
      </c>
      <c r="B94" s="197">
        <v>0.06589371183363592</v>
      </c>
      <c r="C94" s="197">
        <v>0.010918067027437577</v>
      </c>
      <c r="D94" s="197">
        <v>0.03567574430267251</v>
      </c>
      <c r="E94" s="197">
        <v>0.06241214506606691</v>
      </c>
      <c r="F94" s="197">
        <v>0.07437952229051584</v>
      </c>
      <c r="G94" s="197">
        <v>0.09155901166436724</v>
      </c>
      <c r="H94" s="197">
        <v>0.11095472671827351</v>
      </c>
      <c r="I94" s="197">
        <v>0.12642324303101687</v>
      </c>
      <c r="J94" s="200">
        <v>0.16344888108819658</v>
      </c>
    </row>
    <row r="95" spans="1:10" ht="11.25">
      <c r="A95" s="184" t="s">
        <v>1</v>
      </c>
      <c r="B95" s="202"/>
      <c r="C95" s="202"/>
      <c r="D95" s="202"/>
      <c r="E95" s="202"/>
      <c r="F95" s="202"/>
      <c r="G95" s="202"/>
      <c r="H95" s="202"/>
      <c r="I95" s="202"/>
      <c r="J95" s="203"/>
    </row>
    <row r="96" spans="1:10" ht="11.25">
      <c r="A96" s="187" t="str">
        <f>_xlfn.COMPOUNDVALUE(2266)</f>
        <v>Aucune moto</v>
      </c>
      <c r="B96" s="197">
        <v>0.7626120922044342</v>
      </c>
      <c r="C96" s="197">
        <v>0.8591094654894142</v>
      </c>
      <c r="D96" s="197">
        <v>0.8060686853297785</v>
      </c>
      <c r="E96" s="197">
        <v>0.7608940118077031</v>
      </c>
      <c r="F96" s="197">
        <v>0.7443398428382478</v>
      </c>
      <c r="G96" s="197">
        <v>0.7235670387558009</v>
      </c>
      <c r="H96" s="197">
        <v>0.7072484166080225</v>
      </c>
      <c r="I96" s="197">
        <v>0.6835492736552807</v>
      </c>
      <c r="J96" s="200">
        <v>0.6105748135146994</v>
      </c>
    </row>
    <row r="97" spans="1:10" ht="11.25">
      <c r="A97" s="187" t="str">
        <f>_xlfn.COMPOUNDVALUE(2267)</f>
        <v>1 moto</v>
      </c>
      <c r="B97" s="197">
        <v>0.19625075645045936</v>
      </c>
      <c r="C97" s="197">
        <v>0.1271242760846862</v>
      </c>
      <c r="D97" s="197">
        <v>0.16942804545166001</v>
      </c>
      <c r="E97" s="197">
        <v>0.20178521225752039</v>
      </c>
      <c r="F97" s="197">
        <v>0.21504707072278845</v>
      </c>
      <c r="G97" s="197">
        <v>0.2260127931769723</v>
      </c>
      <c r="H97" s="197">
        <v>0.22988505747126436</v>
      </c>
      <c r="I97" s="197">
        <v>0.2414605418138987</v>
      </c>
      <c r="J97" s="200">
        <v>0.2696358051777095</v>
      </c>
    </row>
    <row r="98" spans="1:10" ht="11.25">
      <c r="A98" s="187" t="str">
        <f>_xlfn.COMPOUNDVALUE(2268)</f>
        <v>2 motos</v>
      </c>
      <c r="B98" s="197">
        <v>0.03069813500577653</v>
      </c>
      <c r="C98" s="197">
        <v>0.007690116775847337</v>
      </c>
      <c r="D98" s="197">
        <v>0.018091792039611504</v>
      </c>
      <c r="E98" s="197">
        <v>0.02853528254146753</v>
      </c>
      <c r="F98" s="197">
        <v>0.0324437874426204</v>
      </c>
      <c r="G98" s="197">
        <v>0.040010033864291986</v>
      </c>
      <c r="H98" s="197">
        <v>0.04738447102979123</v>
      </c>
      <c r="I98" s="197">
        <v>0.05771495877502945</v>
      </c>
      <c r="J98" s="200">
        <v>0.0822729267222466</v>
      </c>
    </row>
    <row r="99" spans="1:10" ht="11.25">
      <c r="A99" s="187" t="str">
        <f>_xlfn.COMPOUNDVALUE(2269)</f>
        <v>3 motos ou plus</v>
      </c>
      <c r="B99" s="197">
        <v>0.010439016339329922</v>
      </c>
      <c r="C99" s="197">
        <v>0.006076141650052217</v>
      </c>
      <c r="D99" s="197">
        <v>0.006411477178950041</v>
      </c>
      <c r="E99" s="197">
        <v>0.008785493393308969</v>
      </c>
      <c r="F99" s="197">
        <v>0.008169298996343267</v>
      </c>
      <c r="G99" s="197">
        <v>0.010410134202934905</v>
      </c>
      <c r="H99" s="197">
        <v>0.015482054890921885</v>
      </c>
      <c r="I99" s="197">
        <v>0.017275225755791126</v>
      </c>
      <c r="J99" s="200">
        <v>0.03751645458534445</v>
      </c>
    </row>
    <row r="100" spans="1:10" ht="11.25">
      <c r="A100" s="184" t="s">
        <v>67</v>
      </c>
      <c r="B100" s="202"/>
      <c r="C100" s="202"/>
      <c r="D100" s="202"/>
      <c r="E100" s="202"/>
      <c r="F100" s="202"/>
      <c r="G100" s="202"/>
      <c r="H100" s="202"/>
      <c r="I100" s="202"/>
      <c r="J100" s="203"/>
    </row>
    <row r="101" spans="1:10" ht="11.25">
      <c r="A101" s="187" t="str">
        <f>_xlfn.COMPOUNDVALUE(2270)</f>
        <v>Aucun bateau</v>
      </c>
      <c r="B101" s="197">
        <v>0.8660807614017715</v>
      </c>
      <c r="C101" s="197">
        <v>0.9223393145352701</v>
      </c>
      <c r="D101" s="197">
        <v>0.8678981781248016</v>
      </c>
      <c r="E101" s="197">
        <v>0.8580967107112736</v>
      </c>
      <c r="F101" s="197">
        <v>0.8453279390025675</v>
      </c>
      <c r="G101" s="197">
        <v>0.8442242568669259</v>
      </c>
      <c r="H101" s="197">
        <v>0.849870982875909</v>
      </c>
      <c r="I101" s="197">
        <v>0.8515901060070671</v>
      </c>
      <c r="J101" s="200">
        <v>0.8747257569109258</v>
      </c>
    </row>
    <row r="102" spans="1:10" ht="11.25">
      <c r="A102" s="187" t="str">
        <f>_xlfn.COMPOUNDVALUE(2271)</f>
        <v>1 bateau</v>
      </c>
      <c r="B102" s="197">
        <v>0.11613577598063486</v>
      </c>
      <c r="C102" s="197">
        <v>0.06607804044431786</v>
      </c>
      <c r="D102" s="197">
        <v>0.11489874944455024</v>
      </c>
      <c r="E102" s="197">
        <v>0.12334832724205791</v>
      </c>
      <c r="F102" s="197">
        <v>0.13537695479654555</v>
      </c>
      <c r="G102" s="197">
        <v>0.13721309419290104</v>
      </c>
      <c r="H102" s="197">
        <v>0.12807881773399016</v>
      </c>
      <c r="I102" s="197">
        <v>0.12563800549666274</v>
      </c>
      <c r="J102" s="200">
        <v>0.10596752961825362</v>
      </c>
    </row>
    <row r="103" spans="1:10" ht="11.25">
      <c r="A103" s="187" t="str">
        <f>_xlfn.COMPOUNDVALUE(2272)</f>
        <v>2 bateaux</v>
      </c>
      <c r="B103" s="197">
        <v>0.01097540848324806</v>
      </c>
      <c r="C103" s="197">
        <v>0.00484192537738536</v>
      </c>
      <c r="D103" s="197">
        <v>0.010156795531009967</v>
      </c>
      <c r="E103" s="197">
        <v>0.011456283384874895</v>
      </c>
      <c r="F103" s="197">
        <v>0.012059441375554345</v>
      </c>
      <c r="G103" s="197">
        <v>0.013921986705129813</v>
      </c>
      <c r="H103" s="197">
        <v>0.0150129017124091</v>
      </c>
      <c r="I103" s="197">
        <v>0.012956419316843345</v>
      </c>
      <c r="J103" s="200">
        <v>0.01338306274681878</v>
      </c>
    </row>
    <row r="104" spans="1:10" ht="11.25">
      <c r="A104" s="187" t="str">
        <f>_xlfn.COMPOUNDVALUE(2273)</f>
        <v>3 bateaux ou plus</v>
      </c>
      <c r="B104" s="197">
        <v>0.0068080541343456015</v>
      </c>
      <c r="C104" s="197">
        <v>0.006740719643026678</v>
      </c>
      <c r="D104" s="197">
        <v>0.007046276899638164</v>
      </c>
      <c r="E104" s="197">
        <v>0.0070986786617936466</v>
      </c>
      <c r="F104" s="197">
        <v>0.007235664825332607</v>
      </c>
      <c r="G104" s="197">
        <v>0.004640662235043271</v>
      </c>
      <c r="H104" s="197">
        <v>0.007037297677691766</v>
      </c>
      <c r="I104" s="197">
        <v>0.009815469179426776</v>
      </c>
      <c r="J104" s="200">
        <v>0.005923650724001755</v>
      </c>
    </row>
    <row r="105" spans="1:10" ht="11.25">
      <c r="A105" s="184" t="s">
        <v>72</v>
      </c>
      <c r="B105" s="202"/>
      <c r="C105" s="202"/>
      <c r="D105" s="202"/>
      <c r="E105" s="202"/>
      <c r="F105" s="202"/>
      <c r="G105" s="202"/>
      <c r="H105" s="202"/>
      <c r="I105" s="202"/>
      <c r="J105" s="203"/>
    </row>
    <row r="106" spans="1:10" ht="11.25">
      <c r="A106" s="187" t="str">
        <f>_xlfn.COMPOUNDVALUE(2274)</f>
        <v>Aucune pirogue</v>
      </c>
      <c r="B106" s="197">
        <v>0.8967376354734005</v>
      </c>
      <c r="C106" s="197">
        <v>0.9300294313111175</v>
      </c>
      <c r="D106" s="197">
        <v>0.9075731606678094</v>
      </c>
      <c r="E106" s="197">
        <v>0.8964717458532471</v>
      </c>
      <c r="F106" s="197">
        <v>0.8849295884229362</v>
      </c>
      <c r="G106" s="197">
        <v>0.8804715916217233</v>
      </c>
      <c r="H106" s="197">
        <v>0.8691062631949331</v>
      </c>
      <c r="I106" s="197">
        <v>0.8775029446407538</v>
      </c>
      <c r="J106" s="200">
        <v>0.8815269855199649</v>
      </c>
    </row>
    <row r="107" spans="1:10" ht="11.25">
      <c r="A107" s="187" t="str">
        <f>_xlfn.COMPOUNDVALUE(2275)</f>
        <v>1 pirogue</v>
      </c>
      <c r="B107" s="197">
        <v>0.07633272817296584</v>
      </c>
      <c r="C107" s="197">
        <v>0.05069780689262318</v>
      </c>
      <c r="D107" s="197">
        <v>0.06862184980638608</v>
      </c>
      <c r="E107" s="197">
        <v>0.07892887264548777</v>
      </c>
      <c r="F107" s="197">
        <v>0.08464949817163309</v>
      </c>
      <c r="G107" s="197">
        <v>0.08591496300012542</v>
      </c>
      <c r="H107" s="197">
        <v>0.09570724841660802</v>
      </c>
      <c r="I107" s="197">
        <v>0.08833922261484099</v>
      </c>
      <c r="J107" s="200">
        <v>0.08907415533128565</v>
      </c>
    </row>
    <row r="108" spans="1:10" ht="11.25">
      <c r="A108" s="187" t="str">
        <f>_xlfn.COMPOUNDVALUE(2276)</f>
        <v>2 pirogues</v>
      </c>
      <c r="B108" s="197">
        <v>0.011663090719040545</v>
      </c>
      <c r="C108" s="197">
        <v>0.004367226810975031</v>
      </c>
      <c r="D108" s="197">
        <v>0.010156795531009967</v>
      </c>
      <c r="E108" s="197">
        <v>0.011104863649142536</v>
      </c>
      <c r="F108" s="197">
        <v>0.0147825410410021</v>
      </c>
      <c r="G108" s="197">
        <v>0.014674526527028721</v>
      </c>
      <c r="H108" s="197">
        <v>0.017593244194229415</v>
      </c>
      <c r="I108" s="197">
        <v>0.016489988221436984</v>
      </c>
      <c r="J108" s="200">
        <v>0.013163668275559455</v>
      </c>
    </row>
    <row r="109" spans="1:10" ht="11.25">
      <c r="A109" s="204" t="str">
        <f>_xlfn.COMPOUNDVALUE(2277)</f>
        <v>3 pirogues ou plus</v>
      </c>
      <c r="B109" s="205">
        <v>0.015266545634593167</v>
      </c>
      <c r="C109" s="205">
        <v>0.014905534985284345</v>
      </c>
      <c r="D109" s="205">
        <v>0.013648193994794642</v>
      </c>
      <c r="E109" s="205">
        <v>0.013494517852122575</v>
      </c>
      <c r="F109" s="205">
        <v>0.015638372364428537</v>
      </c>
      <c r="G109" s="205">
        <v>0.01893891885112254</v>
      </c>
      <c r="H109" s="205">
        <v>0.017593244194229415</v>
      </c>
      <c r="I109" s="205">
        <v>0.0176678445229682</v>
      </c>
      <c r="J109" s="206">
        <v>0.016235190873189996</v>
      </c>
    </row>
    <row r="110" spans="1:10" ht="11.25">
      <c r="A110" s="207"/>
      <c r="B110" s="208"/>
      <c r="C110" s="208"/>
      <c r="D110" s="208"/>
      <c r="E110" s="208"/>
      <c r="F110" s="208"/>
      <c r="G110" s="208"/>
      <c r="H110" s="208"/>
      <c r="I110" s="208"/>
      <c r="J110" s="208"/>
    </row>
    <row r="111" spans="1:10" ht="11.25">
      <c r="A111" s="207"/>
      <c r="B111" s="208"/>
      <c r="C111" s="208"/>
      <c r="D111" s="208"/>
      <c r="E111" s="208"/>
      <c r="F111" s="208"/>
      <c r="G111" s="208"/>
      <c r="H111" s="208"/>
      <c r="I111" s="208"/>
      <c r="J111" s="209" t="s">
        <v>49</v>
      </c>
    </row>
    <row r="112" spans="1:10" ht="11.25">
      <c r="A112" s="207"/>
      <c r="B112" s="208"/>
      <c r="C112" s="208"/>
      <c r="D112" s="208"/>
      <c r="E112" s="208"/>
      <c r="F112" s="208"/>
      <c r="G112" s="208"/>
      <c r="H112" s="208"/>
      <c r="I112" s="208"/>
      <c r="J112" s="208"/>
    </row>
  </sheetData>
  <sheetProtection/>
  <mergeCells count="3">
    <mergeCell ref="A1:J1"/>
    <mergeCell ref="A2:C2"/>
    <mergeCell ref="B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5.00390625" style="0" customWidth="1"/>
    <col min="2" max="2" width="10.421875" style="0" customWidth="1"/>
    <col min="3" max="3" width="8.421875" style="0" customWidth="1"/>
    <col min="4" max="4" width="13.57421875" style="0" customWidth="1"/>
    <col min="5" max="8" width="7.421875" style="0" customWidth="1"/>
  </cols>
  <sheetData>
    <row r="1" spans="1:8" ht="15" customHeight="1">
      <c r="A1" s="53"/>
      <c r="B1" s="216" t="s">
        <v>55</v>
      </c>
      <c r="C1" s="216"/>
      <c r="D1" s="216"/>
      <c r="E1" s="216"/>
      <c r="F1" s="216" t="str">
        <f>_xlfn.COMPOUNDVALUE(6)</f>
        <v> </v>
      </c>
      <c r="G1" s="54"/>
      <c r="H1" s="55"/>
    </row>
    <row r="2" spans="1:8" ht="15">
      <c r="A2" s="56"/>
      <c r="B2" s="8"/>
      <c r="C2" s="8"/>
      <c r="D2" s="8"/>
      <c r="E2" s="8"/>
      <c r="F2" s="8"/>
      <c r="G2" s="8"/>
      <c r="H2" s="9"/>
    </row>
    <row r="3" spans="1:8" ht="15">
      <c r="A3" s="56"/>
      <c r="B3" s="8"/>
      <c r="C3" s="8"/>
      <c r="D3" s="57"/>
      <c r="E3" s="57"/>
      <c r="F3" s="59" t="s">
        <v>57</v>
      </c>
      <c r="G3" s="57"/>
      <c r="H3" s="58"/>
    </row>
    <row r="4" spans="1:8" ht="28.5" customHeight="1">
      <c r="A4" s="60" t="s">
        <v>3</v>
      </c>
      <c r="B4" s="61" t="str">
        <f>_xlfn.COMPOUNDVALUE(5)</f>
        <v>Logements</v>
      </c>
      <c r="C4" s="61" t="str">
        <f>_xlfn.COMPOUNDVALUE(8)</f>
        <v>Population</v>
      </c>
      <c r="D4" s="62" t="s">
        <v>56</v>
      </c>
      <c r="E4" s="62" t="str">
        <f>_xlfn.COMPOUNDVALUE(21)</f>
        <v>Voitures</v>
      </c>
      <c r="F4" s="62" t="str">
        <f>_xlfn.COMPOUNDVALUE(23)</f>
        <v>Bateaux</v>
      </c>
      <c r="G4" s="62" t="str">
        <f>_xlfn.COMPOUNDVALUE(20)</f>
        <v>Deux-roues</v>
      </c>
      <c r="H4" s="213" t="str">
        <f>_xlfn.COMPOUNDVALUE(22)</f>
        <v>Bateaux sans moteur</v>
      </c>
    </row>
    <row r="5" spans="1:8" ht="15">
      <c r="A5" s="65" t="str">
        <f>_xlfn.COMPOUNDVALUE(1)</f>
        <v>Ensemble des logements</v>
      </c>
      <c r="B5" s="66">
        <f>_xlfn.COMPOUNDVALUE(9)</f>
        <v>88370</v>
      </c>
      <c r="C5" s="66">
        <f>_xlfn.COMPOUNDVALUE(19)</f>
        <v>268207</v>
      </c>
      <c r="D5" s="63"/>
      <c r="E5" s="63"/>
      <c r="F5" s="63"/>
      <c r="G5" s="63"/>
      <c r="H5" s="64"/>
    </row>
    <row r="6" spans="1:8" ht="15">
      <c r="A6" s="69"/>
      <c r="B6" s="70"/>
      <c r="C6" s="70"/>
      <c r="D6" s="71"/>
      <c r="E6" s="71"/>
      <c r="F6" s="71"/>
      <c r="G6" s="71"/>
      <c r="H6" s="72"/>
    </row>
    <row r="7" spans="1:8" ht="15">
      <c r="A7" s="23" t="str">
        <f>_xlfn.COMPOUNDVALUE(4)</f>
        <v>Logement ordinaire</v>
      </c>
      <c r="B7" s="45">
        <f>_xlfn.COMPOUNDVALUE(12)</f>
        <v>88368</v>
      </c>
      <c r="C7" s="45">
        <f>_xlfn.COMPOUNDVALUE(17)</f>
        <v>265160</v>
      </c>
      <c r="D7" s="45">
        <f>_xlfn.COMPOUNDVALUE(17)</f>
        <v>3.00063371356147</v>
      </c>
      <c r="E7" s="67">
        <f>_xlfn.COMPOUNDVALUE(25)</f>
        <v>86804</v>
      </c>
      <c r="F7" s="67">
        <f>_xlfn.COMPOUNDVALUE(26)</f>
        <v>12859</v>
      </c>
      <c r="G7" s="67">
        <f>_xlfn.COMPOUNDVALUE(24)</f>
        <v>22434</v>
      </c>
      <c r="H7" s="68">
        <f>_xlfn.COMPOUNDVALUE(27)</f>
        <v>13335</v>
      </c>
    </row>
    <row r="8" spans="1:8" ht="15">
      <c r="A8" s="7" t="str">
        <f>_xlfn.COMPOUNDVALUE(6)</f>
        <v>Résidence principale</v>
      </c>
      <c r="B8" s="45">
        <f>_xlfn.COMPOUNDVALUE(13)</f>
        <v>72708</v>
      </c>
      <c r="C8" s="45">
        <f>_xlfn.COMPOUNDVALUE(14)</f>
        <v>265160</v>
      </c>
      <c r="D8" s="45">
        <f>_xlfn.COMPOUNDVALUE(14)</f>
        <v>3.6469164328547063</v>
      </c>
      <c r="E8" s="45"/>
      <c r="F8" s="45"/>
      <c r="G8" s="45"/>
      <c r="H8" s="49"/>
    </row>
    <row r="9" spans="1:8" ht="15">
      <c r="A9" s="7" t="str">
        <f>_xlfn.COMPOUNDVALUE(7)</f>
        <v>Logement occasionnel</v>
      </c>
      <c r="B9" s="45">
        <f>_xlfn.COMPOUNDVALUE(15)</f>
        <v>1449</v>
      </c>
      <c r="C9" s="45">
        <f>_xlfn.COMPOUNDVALUE(16)</f>
      </c>
      <c r="D9" s="45"/>
      <c r="E9" s="45"/>
      <c r="F9" s="45"/>
      <c r="G9" s="45"/>
      <c r="H9" s="49"/>
    </row>
    <row r="10" spans="1:8" ht="15">
      <c r="A10" s="7" t="str">
        <f>_xlfn.COMPOUNDVALUE(2)</f>
        <v>Résidence secondaire</v>
      </c>
      <c r="B10" s="45">
        <f>_xlfn.COMPOUNDVALUE(10)</f>
        <v>5400</v>
      </c>
      <c r="C10" s="45"/>
      <c r="D10" s="45"/>
      <c r="E10" s="45"/>
      <c r="F10" s="45"/>
      <c r="G10" s="45"/>
      <c r="H10" s="49"/>
    </row>
    <row r="11" spans="1:8" ht="15">
      <c r="A11" s="7" t="str">
        <f>_xlfn.COMPOUNDVALUE(3)</f>
        <v>Logement vacant</v>
      </c>
      <c r="B11" s="45">
        <f>_xlfn.COMPOUNDVALUE(11)</f>
        <v>8811</v>
      </c>
      <c r="C11" s="45">
        <f>_xlfn.COMPOUNDVALUE(18)</f>
      </c>
      <c r="D11" s="45"/>
      <c r="E11" s="45"/>
      <c r="F11" s="45"/>
      <c r="G11" s="45"/>
      <c r="H11" s="49"/>
    </row>
    <row r="12" spans="1:8" ht="15">
      <c r="A12" s="56"/>
      <c r="B12" s="8" t="str">
        <f>_xlfn.COMPOUNDVALUE(5)</f>
        <v> </v>
      </c>
      <c r="C12" s="8" t="str">
        <f>_xlfn.COMPOUNDVALUE(8)</f>
        <v> </v>
      </c>
      <c r="D12" s="8"/>
      <c r="E12" s="8"/>
      <c r="F12" s="8"/>
      <c r="G12" s="8"/>
      <c r="H12" s="9"/>
    </row>
    <row r="13" spans="1:8" ht="15">
      <c r="A13" s="23" t="str">
        <f>_xlfn.COMPOUNDVALUE(38)</f>
        <v>Logement non ordinaire</v>
      </c>
      <c r="B13" s="45">
        <v>2</v>
      </c>
      <c r="C13" s="45">
        <f>_xlfn.COMPOUNDVALUE(59)</f>
        <v>3047</v>
      </c>
      <c r="D13" s="8"/>
      <c r="E13" s="8"/>
      <c r="F13" s="8"/>
      <c r="G13" s="8"/>
      <c r="H13" s="9"/>
    </row>
    <row r="14" spans="1:8" ht="15">
      <c r="A14" s="7" t="str">
        <f>_xlfn.COMPOUNDVALUE(33)</f>
        <v>Autre personne en collectivité</v>
      </c>
      <c r="B14" s="45">
        <f>_xlfn.COMPOUNDVALUE(50)</f>
      </c>
      <c r="C14" s="45">
        <f>_xlfn.COMPOUNDVALUE(49)</f>
        <v>226</v>
      </c>
      <c r="D14" s="8"/>
      <c r="E14" s="8"/>
      <c r="F14" s="8"/>
      <c r="G14" s="8"/>
      <c r="H14" s="9"/>
    </row>
    <row r="15" spans="1:8" ht="23.25">
      <c r="A15" s="214" t="str">
        <f>_xlfn.COMPOUNDVALUE(37)</f>
        <v>Autres militaire du contingent ou de carrière</v>
      </c>
      <c r="B15" s="45">
        <f>_xlfn.COMPOUNDVALUE(58)</f>
      </c>
      <c r="C15" s="45">
        <f>_xlfn.COMPOUNDVALUE(57)</f>
        <v>432</v>
      </c>
      <c r="D15" s="8"/>
      <c r="E15" s="8"/>
      <c r="F15" s="8"/>
      <c r="G15" s="8"/>
      <c r="H15" s="9"/>
    </row>
    <row r="16" spans="1:8" ht="23.25">
      <c r="A16" s="214" t="str">
        <f>_xlfn.COMPOUNDVALUE(32)</f>
        <v>Autres personne dans un service de moyen ou long séjour</v>
      </c>
      <c r="B16" s="45">
        <f>_xlfn.COMPOUNDVALUE(48)</f>
      </c>
      <c r="C16" s="45">
        <f>_xlfn.COMPOUNDVALUE(47)</f>
        <v>289</v>
      </c>
      <c r="D16" s="8"/>
      <c r="E16" s="8"/>
      <c r="F16" s="8"/>
      <c r="G16" s="8"/>
      <c r="H16" s="9"/>
    </row>
    <row r="17" spans="1:8" ht="15">
      <c r="A17" s="7" t="str">
        <f>_xlfn.COMPOUNDVALUE(36)</f>
        <v>Détenu</v>
      </c>
      <c r="B17" s="45">
        <f>_xlfn.COMPOUNDVALUE(56)</f>
      </c>
      <c r="C17" s="45">
        <f>_xlfn.COMPOUNDVALUE(55)</f>
        <v>428</v>
      </c>
      <c r="D17" s="8"/>
      <c r="E17" s="8"/>
      <c r="F17" s="8"/>
      <c r="G17" s="8"/>
      <c r="H17" s="9"/>
    </row>
    <row r="18" spans="1:8" ht="15">
      <c r="A18" s="7" t="str">
        <f>_xlfn.COMPOUNDVALUE(31)</f>
        <v>Elève interne</v>
      </c>
      <c r="B18" s="45">
        <f>_xlfn.COMPOUNDVALUE(46)</f>
      </c>
      <c r="C18" s="45">
        <f>_xlfn.COMPOUNDVALUE(45)</f>
        <v>494</v>
      </c>
      <c r="D18" s="8"/>
      <c r="E18" s="8"/>
      <c r="F18" s="8"/>
      <c r="G18" s="8"/>
      <c r="H18" s="9"/>
    </row>
    <row r="19" spans="1:8" ht="15">
      <c r="A19" s="7" t="str">
        <f>_xlfn.COMPOUNDVALUE(35)</f>
        <v>Etudiant en cité universitaire</v>
      </c>
      <c r="B19" s="45">
        <f>_xlfn.COMPOUNDVALUE(54)</f>
      </c>
      <c r="C19" s="45">
        <f>_xlfn.COMPOUNDVALUE(53)</f>
        <v>371</v>
      </c>
      <c r="D19" s="8"/>
      <c r="E19" s="8"/>
      <c r="F19" s="8"/>
      <c r="G19" s="8"/>
      <c r="H19" s="9"/>
    </row>
    <row r="20" spans="1:8" ht="15">
      <c r="A20" s="7" t="str">
        <f>_xlfn.COMPOUNDVALUE(30)</f>
        <v>Gendarmes</v>
      </c>
      <c r="B20" s="45">
        <f>_xlfn.COMPOUNDVALUE(44)</f>
      </c>
      <c r="C20" s="45">
        <f>_xlfn.COMPOUNDVALUE(43)</f>
        <v>108</v>
      </c>
      <c r="D20" s="8"/>
      <c r="E20" s="8"/>
      <c r="F20" s="8"/>
      <c r="G20" s="8"/>
      <c r="H20" s="9"/>
    </row>
    <row r="21" spans="1:8" ht="15">
      <c r="A21" s="7" t="str">
        <f>_xlfn.COMPOUNDVALUE(34)</f>
        <v>Membre d'une communauté religieuse</v>
      </c>
      <c r="B21" s="45">
        <f>_xlfn.COMPOUNDVALUE(52)</f>
      </c>
      <c r="C21" s="45">
        <f>_xlfn.COMPOUNDVALUE(51)</f>
        <v>103</v>
      </c>
      <c r="D21" s="8"/>
      <c r="E21" s="8"/>
      <c r="F21" s="8"/>
      <c r="G21" s="8"/>
      <c r="H21" s="9"/>
    </row>
    <row r="22" spans="1:8" ht="15">
      <c r="A22" s="7" t="str">
        <f>_xlfn.COMPOUNDVALUE(29)</f>
        <v>Personne âgée en maison de retraite ou en hospice</v>
      </c>
      <c r="B22" s="45">
        <f>_xlfn.COMPOUNDVALUE(42)</f>
      </c>
      <c r="C22" s="45">
        <f>_xlfn.COMPOUNDVALUE(41)</f>
        <v>56</v>
      </c>
      <c r="D22" s="8"/>
      <c r="E22" s="8"/>
      <c r="F22" s="8"/>
      <c r="G22" s="8"/>
      <c r="H22" s="9"/>
    </row>
    <row r="23" spans="1:8" ht="15">
      <c r="A23" s="7" t="str">
        <f>_xlfn.COMPOUNDVALUE(28)</f>
        <v>Travailleur logé dans un foyer</v>
      </c>
      <c r="B23" s="45">
        <f>_xlfn.COMPOUNDVALUE(39)</f>
      </c>
      <c r="C23" s="45">
        <f>_xlfn.COMPOUNDVALUE(40)</f>
        <v>353</v>
      </c>
      <c r="D23" s="8"/>
      <c r="E23" s="8"/>
      <c r="F23" s="8"/>
      <c r="G23" s="8"/>
      <c r="H23" s="9"/>
    </row>
    <row r="24" spans="1:8" ht="15">
      <c r="A24" s="1" t="s">
        <v>58</v>
      </c>
      <c r="B24" s="46">
        <v>2</v>
      </c>
      <c r="C24" s="46">
        <v>187</v>
      </c>
      <c r="D24" s="2"/>
      <c r="E24" s="2"/>
      <c r="F24" s="2"/>
      <c r="G24" s="2"/>
      <c r="H24" s="3"/>
    </row>
    <row r="26" ht="15">
      <c r="H26" s="86" t="s">
        <v>49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23.00390625" style="35" bestFit="1" customWidth="1"/>
    <col min="2" max="5" width="10.7109375" style="35" customWidth="1"/>
    <col min="6" max="16384" width="11.421875" style="35" customWidth="1"/>
  </cols>
  <sheetData>
    <row r="1" spans="1:5" ht="27" customHeight="1">
      <c r="A1" s="217" t="s">
        <v>48</v>
      </c>
      <c r="B1" s="217"/>
      <c r="C1" s="217"/>
      <c r="D1" s="217"/>
      <c r="E1" s="217"/>
    </row>
    <row r="2" spans="1:5" ht="11.25">
      <c r="A2" s="5" t="s">
        <v>5</v>
      </c>
      <c r="B2" s="218" t="s">
        <v>4</v>
      </c>
      <c r="C2" s="218"/>
      <c r="D2" s="219" t="s">
        <v>0</v>
      </c>
      <c r="E2" s="220"/>
    </row>
    <row r="3" spans="1:5" ht="11.25">
      <c r="A3" s="6" t="s">
        <v>6</v>
      </c>
      <c r="B3" s="93" t="str">
        <f>_xlfn.COMPOUNDVALUE(5)</f>
        <v>Logements</v>
      </c>
      <c r="C3" s="93" t="str">
        <f>_xlfn.COMPOUNDVALUE(8)</f>
        <v>Population</v>
      </c>
      <c r="D3" s="91" t="str">
        <f>_xlfn.COMPOUNDVALUE(517)</f>
        <v>Logements</v>
      </c>
      <c r="E3" s="92" t="str">
        <f>_xlfn.COMPOUNDVALUE(516)</f>
        <v>Population</v>
      </c>
    </row>
    <row r="4" spans="1:5" ht="11.25">
      <c r="A4" s="16" t="str">
        <f>_xlfn.COMPOUNDVALUE(136)</f>
        <v>Ensemble</v>
      </c>
      <c r="B4" s="17">
        <f>_xlfn.COMPOUNDVALUE(365)</f>
        <v>88370</v>
      </c>
      <c r="C4" s="17">
        <f>_xlfn.COMPOUNDVALUE(364)</f>
        <v>268207</v>
      </c>
      <c r="D4" s="17">
        <f>_xlfn.COMPOUNDVALUE(519)</f>
        <v>72708</v>
      </c>
      <c r="E4" s="18">
        <f>_xlfn.COMPOUNDVALUE(518)</f>
        <v>265160</v>
      </c>
    </row>
    <row r="5" spans="1:5" ht="11.25">
      <c r="A5" s="19" t="str">
        <f>_xlfn.COMPOUNDVALUE(135)</f>
        <v>Iles Du Vent</v>
      </c>
      <c r="B5" s="20">
        <f>_xlfn.COMPOUNDVALUE(287)</f>
        <v>64557</v>
      </c>
      <c r="C5" s="20">
        <f>_xlfn.COMPOUNDVALUE(363)</f>
        <v>200714</v>
      </c>
      <c r="D5" s="20">
        <f>_xlfn.COMPOUNDVALUE(820)</f>
        <v>54021</v>
      </c>
      <c r="E5" s="21">
        <f>_xlfn.COMPOUNDVALUE(821)</f>
        <v>198361</v>
      </c>
    </row>
    <row r="6" spans="1:5" ht="11.25">
      <c r="A6" s="7" t="str">
        <f>_xlfn.COMPOUNDVALUE(211)</f>
        <v>Arue</v>
      </c>
      <c r="B6" s="8">
        <f>_xlfn.COMPOUNDVALUE(515)</f>
        <v>2942</v>
      </c>
      <c r="C6" s="8">
        <f>_xlfn.COMPOUNDVALUE(514)</f>
        <v>9537</v>
      </c>
      <c r="D6" s="8">
        <f>_xlfn.COMPOUNDVALUE(785)</f>
        <v>2567</v>
      </c>
      <c r="E6" s="9">
        <f>_xlfn.COMPOUNDVALUE(604)</f>
        <v>9323</v>
      </c>
    </row>
    <row r="7" spans="1:5" ht="11.25">
      <c r="A7" s="7" t="str">
        <f>_xlfn.COMPOUNDVALUE(134)</f>
        <v>Faaa</v>
      </c>
      <c r="B7" s="8">
        <f>_xlfn.COMPOUNDVALUE(286)</f>
        <v>8074</v>
      </c>
      <c r="C7" s="8">
        <f>_xlfn.COMPOUNDVALUE(362)</f>
        <v>29719</v>
      </c>
      <c r="D7" s="8">
        <f>_xlfn.COMPOUNDVALUE(783)</f>
        <v>7261</v>
      </c>
      <c r="E7" s="9">
        <f>_xlfn.COMPOUNDVALUE(784)</f>
        <v>29189</v>
      </c>
    </row>
    <row r="8" spans="1:5" ht="11.25">
      <c r="A8" s="7" t="str">
        <f>_xlfn.COMPOUNDVALUE(210)</f>
        <v>Hitiaa O Te Ra</v>
      </c>
      <c r="B8" s="8">
        <f>_xlfn.COMPOUNDVALUE(513)</f>
        <v>2876</v>
      </c>
      <c r="C8" s="8">
        <f>_xlfn.COMPOUNDVALUE(512)</f>
        <v>9553</v>
      </c>
      <c r="D8" s="8">
        <f>_xlfn.COMPOUNDVALUE(786)</f>
        <v>2468</v>
      </c>
      <c r="E8" s="9">
        <f>_xlfn.COMPOUNDVALUE(605)</f>
        <v>9539</v>
      </c>
    </row>
    <row r="9" spans="1:5" ht="11.25">
      <c r="A9" s="10" t="str">
        <f>_xlfn.COMPOUNDVALUE(133)</f>
        <v>Hitiaa</v>
      </c>
      <c r="B9" s="8">
        <f>_xlfn.COMPOUNDVALUE(285)</f>
        <v>632</v>
      </c>
      <c r="C9" s="8">
        <f>_xlfn.COMPOUNDVALUE(361)</f>
        <v>1902</v>
      </c>
      <c r="D9" s="8">
        <f>_xlfn.COMPOUNDVALUE(818)</f>
        <v>493</v>
      </c>
      <c r="E9" s="9">
        <f>_xlfn.COMPOUNDVALUE(819)</f>
        <v>1902</v>
      </c>
    </row>
    <row r="10" spans="1:8" ht="11.25">
      <c r="A10" s="10" t="str">
        <f>_xlfn.COMPOUNDVALUE(209)</f>
        <v>Mahaena</v>
      </c>
      <c r="B10" s="8">
        <f>_xlfn.COMPOUNDVALUE(511)</f>
        <v>314</v>
      </c>
      <c r="C10" s="8">
        <f>_xlfn.COMPOUNDVALUE(510)</f>
        <v>1107</v>
      </c>
      <c r="D10" s="8">
        <f>_xlfn.COMPOUNDVALUE(787)</f>
        <v>277</v>
      </c>
      <c r="E10" s="9">
        <f>_xlfn.COMPOUNDVALUE(606)</f>
        <v>1093</v>
      </c>
      <c r="H10" s="94"/>
    </row>
    <row r="11" spans="1:5" ht="11.25">
      <c r="A11" s="10" t="str">
        <f>_xlfn.COMPOUNDVALUE(132)</f>
        <v>Papenoo</v>
      </c>
      <c r="B11" s="8">
        <f>_xlfn.COMPOUNDVALUE(284)</f>
        <v>1112</v>
      </c>
      <c r="C11" s="8">
        <f>_xlfn.COMPOUNDVALUE(360)</f>
        <v>3766</v>
      </c>
      <c r="D11" s="8">
        <f>_xlfn.COMPOUNDVALUE(781)</f>
        <v>995</v>
      </c>
      <c r="E11" s="9">
        <f>_xlfn.COMPOUNDVALUE(782)</f>
        <v>3766</v>
      </c>
    </row>
    <row r="12" spans="1:5" ht="11.25">
      <c r="A12" s="10" t="str">
        <f>_xlfn.COMPOUNDVALUE(208)</f>
        <v>Tiarei</v>
      </c>
      <c r="B12" s="8">
        <f>_xlfn.COMPOUNDVALUE(509)</f>
        <v>818</v>
      </c>
      <c r="C12" s="8">
        <f>_xlfn.COMPOUNDVALUE(508)</f>
        <v>2778</v>
      </c>
      <c r="D12" s="8">
        <f>_xlfn.COMPOUNDVALUE(788)</f>
        <v>703</v>
      </c>
      <c r="E12" s="9">
        <f>_xlfn.COMPOUNDVALUE(607)</f>
        <v>2778</v>
      </c>
    </row>
    <row r="13" spans="1:5" ht="11.25">
      <c r="A13" s="7" t="str">
        <f>_xlfn.COMPOUNDVALUE(131)</f>
        <v>Mahina</v>
      </c>
      <c r="B13" s="8">
        <f>_xlfn.COMPOUNDVALUE(283)</f>
        <v>4287</v>
      </c>
      <c r="C13" s="8">
        <f>_xlfn.COMPOUNDVALUE(359)</f>
        <v>14368</v>
      </c>
      <c r="D13" s="8">
        <f>_xlfn.COMPOUNDVALUE(707)</f>
        <v>3771</v>
      </c>
      <c r="E13" s="9">
        <f>_xlfn.COMPOUNDVALUE(708)</f>
        <v>14326</v>
      </c>
    </row>
    <row r="14" spans="1:5" ht="11.25">
      <c r="A14" s="7" t="str">
        <f>_xlfn.COMPOUNDVALUE(207)</f>
        <v>Moorea-Maiao</v>
      </c>
      <c r="B14" s="8">
        <f>_xlfn.COMPOUNDVALUE(507)</f>
        <v>6778</v>
      </c>
      <c r="C14" s="8">
        <f>_xlfn.COMPOUNDVALUE(506)</f>
        <v>17234</v>
      </c>
      <c r="D14" s="8">
        <f>_xlfn.COMPOUNDVALUE(789)</f>
        <v>5027</v>
      </c>
      <c r="E14" s="9">
        <f>_xlfn.COMPOUNDVALUE(608)</f>
        <v>17160</v>
      </c>
    </row>
    <row r="15" spans="1:5" ht="11.25">
      <c r="A15" s="10" t="str">
        <f>_xlfn.COMPOUNDVALUE(130)</f>
        <v>Afareaitu</v>
      </c>
      <c r="B15" s="8">
        <f>_xlfn.COMPOUNDVALUE(282)</f>
        <v>1251</v>
      </c>
      <c r="C15" s="8">
        <f>_xlfn.COMPOUNDVALUE(358)</f>
        <v>3455</v>
      </c>
      <c r="D15" s="8">
        <f>_xlfn.COMPOUNDVALUE(779)</f>
        <v>967</v>
      </c>
      <c r="E15" s="9">
        <f>_xlfn.COMPOUNDVALUE(780)</f>
        <v>3455</v>
      </c>
    </row>
    <row r="16" spans="1:5" ht="11.25">
      <c r="A16" s="10" t="str">
        <f>_xlfn.COMPOUNDVALUE(206)</f>
        <v>Haapiti</v>
      </c>
      <c r="B16" s="8">
        <f>_xlfn.COMPOUNDVALUE(505)</f>
        <v>1954</v>
      </c>
      <c r="C16" s="8">
        <f>_xlfn.COMPOUNDVALUE(504)</f>
        <v>4062</v>
      </c>
      <c r="D16" s="8">
        <f>_xlfn.COMPOUNDVALUE(790)</f>
        <v>1263</v>
      </c>
      <c r="E16" s="9">
        <f>_xlfn.COMPOUNDVALUE(609)</f>
        <v>4062</v>
      </c>
    </row>
    <row r="17" spans="1:5" ht="11.25">
      <c r="A17" s="10" t="str">
        <f>_xlfn.COMPOUNDVALUE(129)</f>
        <v>Maiao</v>
      </c>
      <c r="B17" s="8">
        <f>_xlfn.COMPOUNDVALUE(281)</f>
        <v>80</v>
      </c>
      <c r="C17" s="8">
        <f>_xlfn.COMPOUNDVALUE(357)</f>
        <v>335</v>
      </c>
      <c r="D17" s="8">
        <f>_xlfn.COMPOUNDVALUE(705)</f>
        <v>79</v>
      </c>
      <c r="E17" s="9">
        <f>_xlfn.COMPOUNDVALUE(706)</f>
        <v>335</v>
      </c>
    </row>
    <row r="18" spans="1:5" ht="11.25">
      <c r="A18" s="10" t="str">
        <f>_xlfn.COMPOUNDVALUE(205)</f>
        <v>Paopao</v>
      </c>
      <c r="B18" s="8">
        <f>_xlfn.COMPOUNDVALUE(503)</f>
        <v>1769</v>
      </c>
      <c r="C18" s="8">
        <f>_xlfn.COMPOUNDVALUE(502)</f>
        <v>4580</v>
      </c>
      <c r="D18" s="8">
        <f>_xlfn.COMPOUNDVALUE(791)</f>
        <v>1391</v>
      </c>
      <c r="E18" s="9">
        <f>_xlfn.COMPOUNDVALUE(610)</f>
        <v>4573</v>
      </c>
    </row>
    <row r="19" spans="1:5" ht="11.25">
      <c r="A19" s="10" t="str">
        <f>_xlfn.COMPOUNDVALUE(128)</f>
        <v>Papetoai</v>
      </c>
      <c r="B19" s="8">
        <f>_xlfn.COMPOUNDVALUE(280)</f>
        <v>803</v>
      </c>
      <c r="C19" s="8">
        <f>_xlfn.COMPOUNDVALUE(356)</f>
        <v>2318</v>
      </c>
      <c r="D19" s="8">
        <f>_xlfn.COMPOUNDVALUE(777)</f>
        <v>637</v>
      </c>
      <c r="E19" s="9">
        <f>_xlfn.COMPOUNDVALUE(778)</f>
        <v>2251</v>
      </c>
    </row>
    <row r="20" spans="1:5" ht="11.25">
      <c r="A20" s="10" t="str">
        <f>_xlfn.COMPOUNDVALUE(204)</f>
        <v>Teavaro</v>
      </c>
      <c r="B20" s="8">
        <f>_xlfn.COMPOUNDVALUE(501)</f>
        <v>921</v>
      </c>
      <c r="C20" s="8">
        <f>_xlfn.COMPOUNDVALUE(500)</f>
        <v>2484</v>
      </c>
      <c r="D20" s="8">
        <f>_xlfn.COMPOUNDVALUE(792)</f>
        <v>690</v>
      </c>
      <c r="E20" s="9">
        <f>_xlfn.COMPOUNDVALUE(611)</f>
        <v>2484</v>
      </c>
    </row>
    <row r="21" spans="1:5" ht="11.25">
      <c r="A21" s="7" t="str">
        <f>_xlfn.COMPOUNDVALUE(127)</f>
        <v>Paea</v>
      </c>
      <c r="B21" s="8">
        <f>_xlfn.COMPOUNDVALUE(279)</f>
        <v>3783</v>
      </c>
      <c r="C21" s="8">
        <f>_xlfn.COMPOUNDVALUE(355)</f>
        <v>12513</v>
      </c>
      <c r="D21" s="8">
        <f>_xlfn.COMPOUNDVALUE(703)</f>
        <v>3252</v>
      </c>
      <c r="E21" s="9">
        <f>_xlfn.COMPOUNDVALUE(704)</f>
        <v>12507</v>
      </c>
    </row>
    <row r="22" spans="1:5" ht="11.25">
      <c r="A22" s="7" t="str">
        <f>_xlfn.COMPOUNDVALUE(203)</f>
        <v>Papara</v>
      </c>
      <c r="B22" s="8">
        <f>_xlfn.COMPOUNDVALUE(499)</f>
        <v>3453</v>
      </c>
      <c r="C22" s="8">
        <f>_xlfn.COMPOUNDVALUE(498)</f>
        <v>11081</v>
      </c>
      <c r="D22" s="8">
        <f>_xlfn.COMPOUNDVALUE(793)</f>
        <v>2870</v>
      </c>
      <c r="E22" s="9">
        <f>_xlfn.COMPOUNDVALUE(612)</f>
        <v>11019</v>
      </c>
    </row>
    <row r="23" spans="1:5" ht="11.25">
      <c r="A23" s="7" t="str">
        <f>_xlfn.COMPOUNDVALUE(126)</f>
        <v>Papeete</v>
      </c>
      <c r="B23" s="8">
        <f>_xlfn.COMPOUNDVALUE(278)</f>
        <v>8392</v>
      </c>
      <c r="C23" s="8">
        <f>_xlfn.COMPOUNDVALUE(354)</f>
        <v>25763</v>
      </c>
      <c r="D23" s="8">
        <f>_xlfn.COMPOUNDVALUE(775)</f>
        <v>7015</v>
      </c>
      <c r="E23" s="9">
        <f>_xlfn.COMPOUNDVALUE(776)</f>
        <v>25239</v>
      </c>
    </row>
    <row r="24" spans="1:5" ht="11.25">
      <c r="A24" s="7" t="str">
        <f>_xlfn.COMPOUNDVALUE(202)</f>
        <v>Pirae</v>
      </c>
      <c r="B24" s="8">
        <f>_xlfn.COMPOUNDVALUE(497)</f>
        <v>4296</v>
      </c>
      <c r="C24" s="8">
        <f>_xlfn.COMPOUNDVALUE(496)</f>
        <v>14094</v>
      </c>
      <c r="D24" s="8">
        <f>_xlfn.COMPOUNDVALUE(794)</f>
        <v>3757</v>
      </c>
      <c r="E24" s="9">
        <f>_xlfn.COMPOUNDVALUE(613)</f>
        <v>13848</v>
      </c>
    </row>
    <row r="25" spans="1:5" ht="11.25">
      <c r="A25" s="7" t="str">
        <f>_xlfn.COMPOUNDVALUE(125)</f>
        <v>Punaauia</v>
      </c>
      <c r="B25" s="8">
        <f>_xlfn.COMPOUNDVALUE(277)</f>
        <v>9506</v>
      </c>
      <c r="C25" s="8">
        <f>_xlfn.COMPOUNDVALUE(353)</f>
        <v>27622</v>
      </c>
      <c r="D25" s="8">
        <f>_xlfn.COMPOUNDVALUE(701)</f>
        <v>8228</v>
      </c>
      <c r="E25" s="9">
        <f>_xlfn.COMPOUNDVALUE(702)</f>
        <v>27093</v>
      </c>
    </row>
    <row r="26" spans="1:5" ht="11.25">
      <c r="A26" s="7" t="str">
        <f>_xlfn.COMPOUNDVALUE(201)</f>
        <v>Taiarapu-Est</v>
      </c>
      <c r="B26" s="8">
        <f>_xlfn.COMPOUNDVALUE(495)</f>
        <v>4390</v>
      </c>
      <c r="C26" s="8">
        <f>_xlfn.COMPOUNDVALUE(494)</f>
        <v>12202</v>
      </c>
      <c r="D26" s="8">
        <f>_xlfn.COMPOUNDVALUE(795)</f>
        <v>3272</v>
      </c>
      <c r="E26" s="9">
        <f>_xlfn.COMPOUNDVALUE(614)</f>
        <v>12123</v>
      </c>
    </row>
    <row r="27" spans="1:5" ht="11.25">
      <c r="A27" s="10" t="str">
        <f>_xlfn.COMPOUNDVALUE(124)</f>
        <v>Afaahiti</v>
      </c>
      <c r="B27" s="8">
        <f>_xlfn.COMPOUNDVALUE(276)</f>
        <v>2204</v>
      </c>
      <c r="C27" s="8">
        <f>_xlfn.COMPOUNDVALUE(352)</f>
        <v>5769</v>
      </c>
      <c r="D27" s="8">
        <f>_xlfn.COMPOUNDVALUE(773)</f>
        <v>1660</v>
      </c>
      <c r="E27" s="9">
        <f>_xlfn.COMPOUNDVALUE(774)</f>
        <v>5690</v>
      </c>
    </row>
    <row r="28" spans="1:5" ht="11.25">
      <c r="A28" s="10" t="str">
        <f>_xlfn.COMPOUNDVALUE(200)</f>
        <v>Faaone</v>
      </c>
      <c r="B28" s="8">
        <f>_xlfn.COMPOUNDVALUE(493)</f>
        <v>761</v>
      </c>
      <c r="C28" s="8">
        <f>_xlfn.COMPOUNDVALUE(492)</f>
        <v>1998</v>
      </c>
      <c r="D28" s="8">
        <f>_xlfn.COMPOUNDVALUE(796)</f>
        <v>586</v>
      </c>
      <c r="E28" s="9">
        <f>_xlfn.COMPOUNDVALUE(615)</f>
        <v>1998</v>
      </c>
    </row>
    <row r="29" spans="1:5" ht="11.25">
      <c r="A29" s="10" t="str">
        <f>_xlfn.COMPOUNDVALUE(123)</f>
        <v>Pueu</v>
      </c>
      <c r="B29" s="8">
        <f>_xlfn.COMPOUNDVALUE(275)</f>
        <v>604</v>
      </c>
      <c r="C29" s="8">
        <f>_xlfn.COMPOUNDVALUE(351)</f>
        <v>2024</v>
      </c>
      <c r="D29" s="8">
        <f>_xlfn.COMPOUNDVALUE(699)</f>
        <v>459</v>
      </c>
      <c r="E29" s="9">
        <f>_xlfn.COMPOUNDVALUE(700)</f>
        <v>2024</v>
      </c>
    </row>
    <row r="30" spans="1:5" ht="11.25">
      <c r="A30" s="10" t="str">
        <f>_xlfn.COMPOUNDVALUE(199)</f>
        <v>Tautira</v>
      </c>
      <c r="B30" s="8">
        <f>_xlfn.COMPOUNDVALUE(491)</f>
        <v>821</v>
      </c>
      <c r="C30" s="8">
        <f>_xlfn.COMPOUNDVALUE(490)</f>
        <v>2411</v>
      </c>
      <c r="D30" s="8">
        <f>_xlfn.COMPOUNDVALUE(797)</f>
        <v>567</v>
      </c>
      <c r="E30" s="9">
        <f>_xlfn.COMPOUNDVALUE(616)</f>
        <v>2411</v>
      </c>
    </row>
    <row r="31" spans="1:5" ht="11.25">
      <c r="A31" s="7" t="str">
        <f>_xlfn.COMPOUNDVALUE(122)</f>
        <v>Taiarapu-Ouest</v>
      </c>
      <c r="B31" s="8">
        <f>_xlfn.COMPOUNDVALUE(274)</f>
        <v>2681</v>
      </c>
      <c r="C31" s="8">
        <f>_xlfn.COMPOUNDVALUE(350)</f>
        <v>7637</v>
      </c>
      <c r="D31" s="8">
        <f>_xlfn.COMPOUNDVALUE(771)</f>
        <v>2095</v>
      </c>
      <c r="E31" s="9">
        <f>_xlfn.COMPOUNDVALUE(772)</f>
        <v>7621</v>
      </c>
    </row>
    <row r="32" spans="1:5" ht="11.25">
      <c r="A32" s="10" t="str">
        <f>_xlfn.COMPOUNDVALUE(198)</f>
        <v>Teahupoo</v>
      </c>
      <c r="B32" s="8">
        <f>_xlfn.COMPOUNDVALUE(489)</f>
        <v>564</v>
      </c>
      <c r="C32" s="8">
        <f>_xlfn.COMPOUNDVALUE(488)</f>
        <v>1293</v>
      </c>
      <c r="D32" s="8">
        <f>_xlfn.COMPOUNDVALUE(798)</f>
        <v>371</v>
      </c>
      <c r="E32" s="9">
        <f>_xlfn.COMPOUNDVALUE(617)</f>
        <v>1293</v>
      </c>
    </row>
    <row r="33" spans="1:5" ht="11.25">
      <c r="A33" s="10" t="str">
        <f>_xlfn.COMPOUNDVALUE(121)</f>
        <v>Toahotu</v>
      </c>
      <c r="B33" s="8">
        <f>_xlfn.COMPOUNDVALUE(273)</f>
        <v>1222</v>
      </c>
      <c r="C33" s="8">
        <f>_xlfn.COMPOUNDVALUE(349)</f>
        <v>3553</v>
      </c>
      <c r="D33" s="8">
        <f>_xlfn.COMPOUNDVALUE(697)</f>
        <v>991</v>
      </c>
      <c r="E33" s="9">
        <f>_xlfn.COMPOUNDVALUE(698)</f>
        <v>3538</v>
      </c>
    </row>
    <row r="34" spans="1:5" ht="11.25">
      <c r="A34" s="10" t="str">
        <f>_xlfn.COMPOUNDVALUE(197)</f>
        <v>Vairao</v>
      </c>
      <c r="B34" s="8">
        <f>_xlfn.COMPOUNDVALUE(487)</f>
        <v>895</v>
      </c>
      <c r="C34" s="8">
        <f>_xlfn.COMPOUNDVALUE(486)</f>
        <v>2791</v>
      </c>
      <c r="D34" s="8">
        <f>_xlfn.COMPOUNDVALUE(799)</f>
        <v>733</v>
      </c>
      <c r="E34" s="9">
        <f>_xlfn.COMPOUNDVALUE(618)</f>
        <v>2790</v>
      </c>
    </row>
    <row r="35" spans="1:5" ht="11.25">
      <c r="A35" s="7" t="str">
        <f>_xlfn.COMPOUNDVALUE(120)</f>
        <v>Teva I Uta</v>
      </c>
      <c r="B35" s="8">
        <f>_xlfn.COMPOUNDVALUE(272)</f>
        <v>3099</v>
      </c>
      <c r="C35" s="8">
        <f>_xlfn.COMPOUNDVALUE(348)</f>
        <v>9391</v>
      </c>
      <c r="D35" s="8">
        <f>_xlfn.COMPOUNDVALUE(769)</f>
        <v>2438</v>
      </c>
      <c r="E35" s="9">
        <f>_xlfn.COMPOUNDVALUE(770)</f>
        <v>9374</v>
      </c>
    </row>
    <row r="36" spans="1:5" ht="11.25">
      <c r="A36" s="10" t="str">
        <f>_xlfn.COMPOUNDVALUE(196)</f>
        <v>Mataiea</v>
      </c>
      <c r="B36" s="8">
        <f>_xlfn.COMPOUNDVALUE(485)</f>
        <v>1625</v>
      </c>
      <c r="C36" s="8">
        <f>_xlfn.COMPOUNDVALUE(484)</f>
        <v>4726</v>
      </c>
      <c r="D36" s="8">
        <f>_xlfn.COMPOUNDVALUE(800)</f>
        <v>1240</v>
      </c>
      <c r="E36" s="9">
        <f>_xlfn.COMPOUNDVALUE(619)</f>
        <v>4709</v>
      </c>
    </row>
    <row r="37" spans="1:5" ht="11.25">
      <c r="A37" s="10" t="str">
        <f>_xlfn.COMPOUNDVALUE(119)</f>
        <v>Papeari</v>
      </c>
      <c r="B37" s="8">
        <f>_xlfn.COMPOUNDVALUE(271)</f>
        <v>1474</v>
      </c>
      <c r="C37" s="8">
        <f>_xlfn.COMPOUNDVALUE(347)</f>
        <v>4665</v>
      </c>
      <c r="D37" s="8">
        <f>_xlfn.COMPOUNDVALUE(695)</f>
        <v>1198</v>
      </c>
      <c r="E37" s="9">
        <f>_xlfn.COMPOUNDVALUE(696)</f>
        <v>4665</v>
      </c>
    </row>
    <row r="38" spans="1:5" ht="11.25">
      <c r="A38" s="19" t="str">
        <f>_xlfn.COMPOUNDVALUE(195)</f>
        <v>Iles Sous-Le-Vent</v>
      </c>
      <c r="B38" s="20">
        <f>_xlfn.COMPOUNDVALUE(483)</f>
        <v>11939</v>
      </c>
      <c r="C38" s="20">
        <f>_xlfn.COMPOUNDVALUE(482)</f>
        <v>34581</v>
      </c>
      <c r="D38" s="20">
        <f>_xlfn.COMPOUNDVALUE(801)</f>
        <v>9572</v>
      </c>
      <c r="E38" s="21">
        <f>_xlfn.COMPOUNDVALUE(620)</f>
        <v>34472</v>
      </c>
    </row>
    <row r="39" spans="1:5" ht="11.25">
      <c r="A39" s="7" t="str">
        <f>_xlfn.COMPOUNDVALUE(118)</f>
        <v>Bora Bora</v>
      </c>
      <c r="B39" s="8">
        <f>_xlfn.COMPOUNDVALUE(270)</f>
        <v>3153</v>
      </c>
      <c r="C39" s="8">
        <f>_xlfn.COMPOUNDVALUE(346)</f>
        <v>9598</v>
      </c>
      <c r="D39" s="8">
        <f>_xlfn.COMPOUNDVALUE(767)</f>
        <v>2584</v>
      </c>
      <c r="E39" s="9">
        <f>_xlfn.COMPOUNDVALUE(768)</f>
        <v>9598</v>
      </c>
    </row>
    <row r="40" spans="1:5" ht="11.25">
      <c r="A40" s="10" t="str">
        <f>_xlfn.COMPOUNDVALUE(194)</f>
        <v>Anau</v>
      </c>
      <c r="B40" s="8">
        <f>_xlfn.COMPOUNDVALUE(481)</f>
        <v>697</v>
      </c>
      <c r="C40" s="8">
        <f>_xlfn.COMPOUNDVALUE(480)</f>
        <v>1784</v>
      </c>
      <c r="D40" s="8">
        <f>_xlfn.COMPOUNDVALUE(802)</f>
        <v>551</v>
      </c>
      <c r="E40" s="9">
        <f>_xlfn.COMPOUNDVALUE(621)</f>
        <v>1784</v>
      </c>
    </row>
    <row r="41" spans="1:5" ht="11.25">
      <c r="A41" s="10" t="str">
        <f>_xlfn.COMPOUNDVALUE(117)</f>
        <v>Faanui</v>
      </c>
      <c r="B41" s="8">
        <f>_xlfn.COMPOUNDVALUE(269)</f>
        <v>945</v>
      </c>
      <c r="C41" s="8">
        <f>_xlfn.COMPOUNDVALUE(345)</f>
        <v>2624</v>
      </c>
      <c r="D41" s="8">
        <f>_xlfn.COMPOUNDVALUE(693)</f>
        <v>737</v>
      </c>
      <c r="E41" s="9">
        <f>_xlfn.COMPOUNDVALUE(694)</f>
        <v>2624</v>
      </c>
    </row>
    <row r="42" spans="1:5" ht="11.25">
      <c r="A42" s="10" t="str">
        <f>_xlfn.COMPOUNDVALUE(193)</f>
        <v>Nunue</v>
      </c>
      <c r="B42" s="8">
        <f>_xlfn.COMPOUNDVALUE(479)</f>
        <v>1511</v>
      </c>
      <c r="C42" s="8">
        <f>_xlfn.COMPOUNDVALUE(478)</f>
        <v>5190</v>
      </c>
      <c r="D42" s="8">
        <f>_xlfn.COMPOUNDVALUE(803)</f>
        <v>1296</v>
      </c>
      <c r="E42" s="9">
        <f>_xlfn.COMPOUNDVALUE(622)</f>
        <v>5190</v>
      </c>
    </row>
    <row r="43" spans="1:5" ht="11.25">
      <c r="A43" s="7" t="str">
        <f>_xlfn.COMPOUNDVALUE(116)</f>
        <v>Huahine</v>
      </c>
      <c r="B43" s="8">
        <f>_xlfn.COMPOUNDVALUE(268)</f>
        <v>2299</v>
      </c>
      <c r="C43" s="8">
        <f>_xlfn.COMPOUNDVALUE(344)</f>
        <v>6303</v>
      </c>
      <c r="D43" s="8">
        <f>_xlfn.COMPOUNDVALUE(765)</f>
        <v>1783</v>
      </c>
      <c r="E43" s="9">
        <f>_xlfn.COMPOUNDVALUE(766)</f>
        <v>6301</v>
      </c>
    </row>
    <row r="44" spans="1:5" ht="11.25">
      <c r="A44" s="10" t="str">
        <f>_xlfn.COMPOUNDVALUE(192)</f>
        <v>Faie</v>
      </c>
      <c r="B44" s="8">
        <f>_xlfn.COMPOUNDVALUE(477)</f>
        <v>166</v>
      </c>
      <c r="C44" s="8">
        <f>_xlfn.COMPOUNDVALUE(476)</f>
        <v>395</v>
      </c>
      <c r="D44" s="8">
        <f>_xlfn.COMPOUNDVALUE(804)</f>
        <v>113</v>
      </c>
      <c r="E44" s="9">
        <f>_xlfn.COMPOUNDVALUE(623)</f>
        <v>395</v>
      </c>
    </row>
    <row r="45" spans="1:5" ht="11.25">
      <c r="A45" s="10" t="str">
        <f>_xlfn.COMPOUNDVALUE(115)</f>
        <v>Fare</v>
      </c>
      <c r="B45" s="8">
        <f>_xlfn.COMPOUNDVALUE(267)</f>
        <v>631</v>
      </c>
      <c r="C45" s="8">
        <f>_xlfn.COMPOUNDVALUE(343)</f>
        <v>1586</v>
      </c>
      <c r="D45" s="8">
        <f>_xlfn.COMPOUNDVALUE(691)</f>
        <v>487</v>
      </c>
      <c r="E45" s="9">
        <f>_xlfn.COMPOUNDVALUE(692)</f>
        <v>1586</v>
      </c>
    </row>
    <row r="46" spans="1:5" ht="11.25">
      <c r="A46" s="10" t="str">
        <f>_xlfn.COMPOUNDVALUE(191)</f>
        <v>Fitii</v>
      </c>
      <c r="B46" s="8">
        <f>_xlfn.COMPOUNDVALUE(475)</f>
        <v>394</v>
      </c>
      <c r="C46" s="8">
        <f>_xlfn.COMPOUNDVALUE(474)</f>
        <v>1164</v>
      </c>
      <c r="D46" s="8">
        <f>_xlfn.COMPOUNDVALUE(805)</f>
        <v>328</v>
      </c>
      <c r="E46" s="9">
        <f>_xlfn.COMPOUNDVALUE(624)</f>
        <v>1164</v>
      </c>
    </row>
    <row r="47" spans="1:5" ht="11.25">
      <c r="A47" s="10" t="str">
        <f>_xlfn.COMPOUNDVALUE(114)</f>
        <v>Haapu</v>
      </c>
      <c r="B47" s="8">
        <f>_xlfn.COMPOUNDVALUE(266)</f>
        <v>222</v>
      </c>
      <c r="C47" s="8">
        <f>_xlfn.COMPOUNDVALUE(342)</f>
        <v>634</v>
      </c>
      <c r="D47" s="8">
        <f>_xlfn.COMPOUNDVALUE(763)</f>
        <v>170</v>
      </c>
      <c r="E47" s="9">
        <f>_xlfn.COMPOUNDVALUE(764)</f>
        <v>634</v>
      </c>
    </row>
    <row r="48" spans="1:5" ht="11.25">
      <c r="A48" s="10" t="str">
        <f>_xlfn.COMPOUNDVALUE(190)</f>
        <v>Maeva</v>
      </c>
      <c r="B48" s="8">
        <f>_xlfn.COMPOUNDVALUE(473)</f>
        <v>366</v>
      </c>
      <c r="C48" s="8">
        <f>_xlfn.COMPOUNDVALUE(472)</f>
        <v>1013</v>
      </c>
      <c r="D48" s="8">
        <f>_xlfn.COMPOUNDVALUE(806)</f>
        <v>281</v>
      </c>
      <c r="E48" s="9">
        <f>_xlfn.COMPOUNDVALUE(625)</f>
        <v>1013</v>
      </c>
    </row>
    <row r="49" spans="1:5" ht="11.25">
      <c r="A49" s="10" t="str">
        <f>_xlfn.COMPOUNDVALUE(113)</f>
        <v>Maroe</v>
      </c>
      <c r="B49" s="8">
        <f>_xlfn.COMPOUNDVALUE(265)</f>
        <v>200</v>
      </c>
      <c r="C49" s="8">
        <f>_xlfn.COMPOUNDVALUE(341)</f>
        <v>535</v>
      </c>
      <c r="D49" s="8">
        <f>_xlfn.COMPOUNDVALUE(689)</f>
        <v>146</v>
      </c>
      <c r="E49" s="9">
        <f>_xlfn.COMPOUNDVALUE(690)</f>
        <v>533</v>
      </c>
    </row>
    <row r="50" spans="1:5" ht="11.25">
      <c r="A50" s="10" t="str">
        <f>_xlfn.COMPOUNDVALUE(189)</f>
        <v>Parea</v>
      </c>
      <c r="B50" s="8">
        <f>_xlfn.COMPOUNDVALUE(471)</f>
        <v>167</v>
      </c>
      <c r="C50" s="8">
        <f>_xlfn.COMPOUNDVALUE(470)</f>
        <v>517</v>
      </c>
      <c r="D50" s="8">
        <f>_xlfn.COMPOUNDVALUE(807)</f>
        <v>140</v>
      </c>
      <c r="E50" s="9">
        <f>_xlfn.COMPOUNDVALUE(626)</f>
        <v>517</v>
      </c>
    </row>
    <row r="51" spans="1:5" ht="11.25">
      <c r="A51" s="10" t="str">
        <f>_xlfn.COMPOUNDVALUE(112)</f>
        <v>Tefarerii</v>
      </c>
      <c r="B51" s="8">
        <f>_xlfn.COMPOUNDVALUE(264)</f>
        <v>153</v>
      </c>
      <c r="C51" s="8">
        <f>_xlfn.COMPOUNDVALUE(340)</f>
        <v>459</v>
      </c>
      <c r="D51" s="8">
        <f>_xlfn.COMPOUNDVALUE(761)</f>
        <v>118</v>
      </c>
      <c r="E51" s="9">
        <f>_xlfn.COMPOUNDVALUE(762)</f>
        <v>459</v>
      </c>
    </row>
    <row r="52" spans="1:5" ht="11.25">
      <c r="A52" s="7" t="str">
        <f>_xlfn.COMPOUNDVALUE(188)</f>
        <v>Maupiti</v>
      </c>
      <c r="B52" s="8">
        <f>_xlfn.COMPOUNDVALUE(469)</f>
        <v>454</v>
      </c>
      <c r="C52" s="8">
        <f>_xlfn.COMPOUNDVALUE(468)</f>
        <v>1223</v>
      </c>
      <c r="D52" s="8">
        <f>_xlfn.COMPOUNDVALUE(808)</f>
        <v>334</v>
      </c>
      <c r="E52" s="9">
        <f>_xlfn.COMPOUNDVALUE(627)</f>
        <v>1205</v>
      </c>
    </row>
    <row r="53" spans="1:5" ht="11.25">
      <c r="A53" s="7" t="str">
        <f>_xlfn.COMPOUNDVALUE(111)</f>
        <v>Tahaa</v>
      </c>
      <c r="B53" s="8">
        <f>_xlfn.COMPOUNDVALUE(263)</f>
        <v>1946</v>
      </c>
      <c r="C53" s="8">
        <f>_xlfn.COMPOUNDVALUE(339)</f>
        <v>5220</v>
      </c>
      <c r="D53" s="8">
        <f>_xlfn.COMPOUNDVALUE(687)</f>
        <v>1490</v>
      </c>
      <c r="E53" s="9">
        <f>_xlfn.COMPOUNDVALUE(688)</f>
        <v>5218</v>
      </c>
    </row>
    <row r="54" spans="1:5" ht="11.25">
      <c r="A54" s="10" t="str">
        <f>_xlfn.COMPOUNDVALUE(187)</f>
        <v>Faaaha</v>
      </c>
      <c r="B54" s="8">
        <f>_xlfn.COMPOUNDVALUE(467)</f>
        <v>192</v>
      </c>
      <c r="C54" s="8">
        <f>_xlfn.COMPOUNDVALUE(466)</f>
        <v>477</v>
      </c>
      <c r="D54" s="8">
        <f>_xlfn.COMPOUNDVALUE(809)</f>
        <v>136</v>
      </c>
      <c r="E54" s="9">
        <f>_xlfn.COMPOUNDVALUE(628)</f>
        <v>477</v>
      </c>
    </row>
    <row r="55" spans="1:5" ht="11.25">
      <c r="A55" s="10" t="str">
        <f>_xlfn.COMPOUNDVALUE(110)</f>
        <v>Haamene</v>
      </c>
      <c r="B55" s="8">
        <f>_xlfn.COMPOUNDVALUE(262)</f>
        <v>321</v>
      </c>
      <c r="C55" s="8">
        <f>_xlfn.COMPOUNDVALUE(338)</f>
        <v>911</v>
      </c>
      <c r="D55" s="8">
        <f>_xlfn.COMPOUNDVALUE(759)</f>
        <v>252</v>
      </c>
      <c r="E55" s="9">
        <f>_xlfn.COMPOUNDVALUE(760)</f>
        <v>911</v>
      </c>
    </row>
    <row r="56" spans="1:5" ht="11.25">
      <c r="A56" s="10" t="str">
        <f>_xlfn.COMPOUNDVALUE(186)</f>
        <v>Hipu</v>
      </c>
      <c r="B56" s="8">
        <f>_xlfn.COMPOUNDVALUE(465)</f>
        <v>170</v>
      </c>
      <c r="C56" s="8">
        <f>_xlfn.COMPOUNDVALUE(464)</f>
        <v>498</v>
      </c>
      <c r="D56" s="8">
        <f>_xlfn.COMPOUNDVALUE(810)</f>
        <v>130</v>
      </c>
      <c r="E56" s="9">
        <f>_xlfn.COMPOUNDVALUE(629)</f>
        <v>498</v>
      </c>
    </row>
    <row r="57" spans="1:5" ht="11.25">
      <c r="A57" s="10" t="str">
        <f>_xlfn.COMPOUNDVALUE(109)</f>
        <v>Iripau</v>
      </c>
      <c r="B57" s="8">
        <f>_xlfn.COMPOUNDVALUE(261)</f>
        <v>441</v>
      </c>
      <c r="C57" s="8">
        <f>_xlfn.COMPOUNDVALUE(337)</f>
        <v>1248</v>
      </c>
      <c r="D57" s="8">
        <f>_xlfn.COMPOUNDVALUE(685)</f>
        <v>361</v>
      </c>
      <c r="E57" s="9">
        <f>_xlfn.COMPOUNDVALUE(686)</f>
        <v>1246</v>
      </c>
    </row>
    <row r="58" spans="1:5" ht="11.25">
      <c r="A58" s="10" t="str">
        <f>_xlfn.COMPOUNDVALUE(185)</f>
        <v>Niua</v>
      </c>
      <c r="B58" s="8">
        <f>_xlfn.COMPOUNDVALUE(463)</f>
        <v>221</v>
      </c>
      <c r="C58" s="8">
        <f>_xlfn.COMPOUNDVALUE(462)</f>
        <v>569</v>
      </c>
      <c r="D58" s="8">
        <f>_xlfn.COMPOUNDVALUE(811)</f>
        <v>174</v>
      </c>
      <c r="E58" s="9">
        <f>_xlfn.COMPOUNDVALUE(630)</f>
        <v>569</v>
      </c>
    </row>
    <row r="59" spans="1:5" ht="11.25">
      <c r="A59" s="10" t="str">
        <f>_xlfn.COMPOUNDVALUE(108)</f>
        <v>Ruutia</v>
      </c>
      <c r="B59" s="8">
        <f>_xlfn.COMPOUNDVALUE(260)</f>
        <v>201</v>
      </c>
      <c r="C59" s="8">
        <f>_xlfn.COMPOUNDVALUE(336)</f>
        <v>462</v>
      </c>
      <c r="D59" s="8">
        <f>_xlfn.COMPOUNDVALUE(757)</f>
        <v>141</v>
      </c>
      <c r="E59" s="9">
        <f>_xlfn.COMPOUNDVALUE(758)</f>
        <v>462</v>
      </c>
    </row>
    <row r="60" spans="1:5" ht="11.25">
      <c r="A60" s="10" t="str">
        <f>_xlfn.COMPOUNDVALUE(184)</f>
        <v>Tapuamu</v>
      </c>
      <c r="B60" s="8">
        <f>_xlfn.COMPOUNDVALUE(461)</f>
        <v>258</v>
      </c>
      <c r="C60" s="8">
        <f>_xlfn.COMPOUNDVALUE(460)</f>
        <v>633</v>
      </c>
      <c r="D60" s="8">
        <f>_xlfn.COMPOUNDVALUE(812)</f>
        <v>185</v>
      </c>
      <c r="E60" s="9">
        <f>_xlfn.COMPOUNDVALUE(631)</f>
        <v>633</v>
      </c>
    </row>
    <row r="61" spans="1:5" ht="11.25">
      <c r="A61" s="10" t="str">
        <f>_xlfn.COMPOUNDVALUE(107)</f>
        <v>Vaitoare</v>
      </c>
      <c r="B61" s="8">
        <f>_xlfn.COMPOUNDVALUE(259)</f>
        <v>142</v>
      </c>
      <c r="C61" s="8">
        <f>_xlfn.COMPOUNDVALUE(335)</f>
        <v>422</v>
      </c>
      <c r="D61" s="8">
        <f>_xlfn.COMPOUNDVALUE(683)</f>
        <v>111</v>
      </c>
      <c r="E61" s="9">
        <f>_xlfn.COMPOUNDVALUE(684)</f>
        <v>422</v>
      </c>
    </row>
    <row r="62" spans="1:5" ht="11.25">
      <c r="A62" s="7" t="str">
        <f>_xlfn.COMPOUNDVALUE(183)</f>
        <v>Taputapuatea</v>
      </c>
      <c r="B62" s="8">
        <f>_xlfn.COMPOUNDVALUE(459)</f>
        <v>1613</v>
      </c>
      <c r="C62" s="8">
        <f>_xlfn.COMPOUNDVALUE(458)</f>
        <v>4791</v>
      </c>
      <c r="D62" s="8">
        <f>_xlfn.COMPOUNDVALUE(813)</f>
        <v>1306</v>
      </c>
      <c r="E62" s="9">
        <f>_xlfn.COMPOUNDVALUE(632)</f>
        <v>4791</v>
      </c>
    </row>
    <row r="63" spans="1:5" ht="11.25">
      <c r="A63" s="10" t="str">
        <f>_xlfn.COMPOUNDVALUE(106)</f>
        <v>Avera (Taputapuatea)</v>
      </c>
      <c r="B63" s="8">
        <f>_xlfn.COMPOUNDVALUE(258)</f>
        <v>1090</v>
      </c>
      <c r="C63" s="8">
        <f>_xlfn.COMPOUNDVALUE(334)</f>
        <v>3230</v>
      </c>
      <c r="D63" s="8">
        <f>_xlfn.COMPOUNDVALUE(755)</f>
        <v>893</v>
      </c>
      <c r="E63" s="9">
        <f>_xlfn.COMPOUNDVALUE(756)</f>
        <v>3230</v>
      </c>
    </row>
    <row r="64" spans="1:5" ht="11.25">
      <c r="A64" s="10" t="str">
        <f>_xlfn.COMPOUNDVALUE(182)</f>
        <v>Opoa</v>
      </c>
      <c r="B64" s="8">
        <f>_xlfn.COMPOUNDVALUE(457)</f>
        <v>411</v>
      </c>
      <c r="C64" s="8">
        <f>_xlfn.COMPOUNDVALUE(456)</f>
        <v>1239</v>
      </c>
      <c r="D64" s="8">
        <f>_xlfn.COMPOUNDVALUE(814)</f>
        <v>317</v>
      </c>
      <c r="E64" s="9">
        <f>_xlfn.COMPOUNDVALUE(633)</f>
        <v>1239</v>
      </c>
    </row>
    <row r="65" spans="1:5" ht="11.25">
      <c r="A65" s="10" t="str">
        <f>_xlfn.COMPOUNDVALUE(105)</f>
        <v>Puohine</v>
      </c>
      <c r="B65" s="8">
        <f>_xlfn.COMPOUNDVALUE(257)</f>
        <v>112</v>
      </c>
      <c r="C65" s="8">
        <f>_xlfn.COMPOUNDVALUE(333)</f>
        <v>322</v>
      </c>
      <c r="D65" s="8">
        <f>_xlfn.COMPOUNDVALUE(681)</f>
        <v>96</v>
      </c>
      <c r="E65" s="9">
        <f>_xlfn.COMPOUNDVALUE(682)</f>
        <v>322</v>
      </c>
    </row>
    <row r="66" spans="1:5" ht="11.25">
      <c r="A66" s="7" t="str">
        <f>_xlfn.COMPOUNDVALUE(181)</f>
        <v>Tumaraa</v>
      </c>
      <c r="B66" s="8">
        <f>_xlfn.COMPOUNDVALUE(455)</f>
        <v>1330</v>
      </c>
      <c r="C66" s="8">
        <f>_xlfn.COMPOUNDVALUE(454)</f>
        <v>3756</v>
      </c>
      <c r="D66" s="8">
        <f>_xlfn.COMPOUNDVALUE(815)</f>
        <v>1057</v>
      </c>
      <c r="E66" s="9">
        <f>_xlfn.COMPOUNDVALUE(634)</f>
        <v>3756</v>
      </c>
    </row>
    <row r="67" spans="1:5" ht="11.25">
      <c r="A67" s="10" t="str">
        <f>_xlfn.COMPOUNDVALUE(104)</f>
        <v>Fetuna</v>
      </c>
      <c r="B67" s="8">
        <f>_xlfn.COMPOUNDVALUE(256)</f>
        <v>146</v>
      </c>
      <c r="C67" s="8">
        <f>_xlfn.COMPOUNDVALUE(332)</f>
        <v>413</v>
      </c>
      <c r="D67" s="8">
        <f>_xlfn.COMPOUNDVALUE(753)</f>
        <v>112</v>
      </c>
      <c r="E67" s="9">
        <f>_xlfn.COMPOUNDVALUE(754)</f>
        <v>413</v>
      </c>
    </row>
    <row r="68" spans="1:5" ht="11.25">
      <c r="A68" s="10" t="str">
        <f>_xlfn.COMPOUNDVALUE(180)</f>
        <v>Tehurui</v>
      </c>
      <c r="B68" s="8">
        <f>_xlfn.COMPOUNDVALUE(453)</f>
        <v>158</v>
      </c>
      <c r="C68" s="8">
        <f>_xlfn.COMPOUNDVALUE(452)</f>
        <v>491</v>
      </c>
      <c r="D68" s="8">
        <f>_xlfn.COMPOUNDVALUE(816)</f>
        <v>131</v>
      </c>
      <c r="E68" s="9">
        <f>_xlfn.COMPOUNDVALUE(635)</f>
        <v>491</v>
      </c>
    </row>
    <row r="69" spans="1:5" ht="11.25">
      <c r="A69" s="10" t="str">
        <f>_xlfn.COMPOUNDVALUE(103)</f>
        <v>Tevaitoa</v>
      </c>
      <c r="B69" s="8">
        <f>_xlfn.COMPOUNDVALUE(255)</f>
        <v>679</v>
      </c>
      <c r="C69" s="8">
        <f>_xlfn.COMPOUNDVALUE(331)</f>
        <v>1975</v>
      </c>
      <c r="D69" s="8">
        <f>_xlfn.COMPOUNDVALUE(679)</f>
        <v>573</v>
      </c>
      <c r="E69" s="9">
        <f>_xlfn.COMPOUNDVALUE(680)</f>
        <v>1975</v>
      </c>
    </row>
    <row r="70" spans="1:5" ht="11.25">
      <c r="A70" s="10" t="str">
        <f>_xlfn.COMPOUNDVALUE(179)</f>
        <v>Vaiaau</v>
      </c>
      <c r="B70" s="8">
        <f>_xlfn.COMPOUNDVALUE(451)</f>
        <v>347</v>
      </c>
      <c r="C70" s="8">
        <f>_xlfn.COMPOUNDVALUE(450)</f>
        <v>877</v>
      </c>
      <c r="D70" s="8">
        <f>_xlfn.COMPOUNDVALUE(817)</f>
        <v>241</v>
      </c>
      <c r="E70" s="9">
        <f>_xlfn.COMPOUNDVALUE(636)</f>
        <v>877</v>
      </c>
    </row>
    <row r="71" spans="1:5" ht="11.25">
      <c r="A71" s="7" t="str">
        <f>_xlfn.COMPOUNDVALUE(102)</f>
        <v>Uturoa</v>
      </c>
      <c r="B71" s="8">
        <f>_xlfn.COMPOUNDVALUE(254)</f>
        <v>1144</v>
      </c>
      <c r="C71" s="8">
        <f>_xlfn.COMPOUNDVALUE(330)</f>
        <v>3690</v>
      </c>
      <c r="D71" s="8">
        <f>_xlfn.COMPOUNDVALUE(751)</f>
        <v>1018</v>
      </c>
      <c r="E71" s="9">
        <f>_xlfn.COMPOUNDVALUE(752)</f>
        <v>3603</v>
      </c>
    </row>
    <row r="72" spans="1:5" ht="11.25">
      <c r="A72" s="19" t="str">
        <f>_xlfn.COMPOUNDVALUE(178)</f>
        <v>Marquises</v>
      </c>
      <c r="B72" s="20">
        <f>_xlfn.COMPOUNDVALUE(449)</f>
        <v>3305</v>
      </c>
      <c r="C72" s="20">
        <f>_xlfn.COMPOUNDVALUE(448)</f>
        <v>9261</v>
      </c>
      <c r="D72" s="20">
        <f>_xlfn.COMPOUNDVALUE(603)</f>
        <v>2597</v>
      </c>
      <c r="E72" s="21">
        <f>_xlfn.COMPOUNDVALUE(602)</f>
        <v>9190</v>
      </c>
    </row>
    <row r="73" spans="1:5" ht="11.25">
      <c r="A73" s="7" t="str">
        <f>_xlfn.COMPOUNDVALUE(101)</f>
        <v>Fatu Hiva</v>
      </c>
      <c r="B73" s="8">
        <f>_xlfn.COMPOUNDVALUE(253)</f>
        <v>203</v>
      </c>
      <c r="C73" s="8">
        <f>_xlfn.COMPOUNDVALUE(329)</f>
        <v>611</v>
      </c>
      <c r="D73" s="8">
        <f>_xlfn.COMPOUNDVALUE(678)</f>
        <v>166</v>
      </c>
      <c r="E73" s="9">
        <f>_xlfn.COMPOUNDVALUE(677)</f>
        <v>611</v>
      </c>
    </row>
    <row r="74" spans="1:5" ht="11.25">
      <c r="A74" s="7" t="str">
        <f>_xlfn.COMPOUNDVALUE(177)</f>
        <v>Hiva Oa</v>
      </c>
      <c r="B74" s="8">
        <f>_xlfn.COMPOUNDVALUE(447)</f>
        <v>786</v>
      </c>
      <c r="C74" s="8">
        <f>_xlfn.COMPOUNDVALUE(446)</f>
        <v>2184</v>
      </c>
      <c r="D74" s="8">
        <f>_xlfn.COMPOUNDVALUE(601)</f>
        <v>643</v>
      </c>
      <c r="E74" s="9">
        <f>_xlfn.COMPOUNDVALUE(600)</f>
        <v>2140</v>
      </c>
    </row>
    <row r="75" spans="1:5" ht="11.25">
      <c r="A75" s="10" t="str">
        <f>_xlfn.COMPOUNDVALUE(100)</f>
        <v>Atuona</v>
      </c>
      <c r="B75" s="8">
        <f>_xlfn.COMPOUNDVALUE(252)</f>
        <v>647</v>
      </c>
      <c r="C75" s="8">
        <f>_xlfn.COMPOUNDVALUE(328)</f>
        <v>1839</v>
      </c>
      <c r="D75" s="8">
        <f>_xlfn.COMPOUNDVALUE(750)</f>
        <v>538</v>
      </c>
      <c r="E75" s="9">
        <f>_xlfn.COMPOUNDVALUE(749)</f>
        <v>1795</v>
      </c>
    </row>
    <row r="76" spans="1:5" ht="11.25">
      <c r="A76" s="10" t="str">
        <f>_xlfn.COMPOUNDVALUE(176)</f>
        <v>Puamau</v>
      </c>
      <c r="B76" s="8">
        <f>_xlfn.COMPOUNDVALUE(445)</f>
        <v>139</v>
      </c>
      <c r="C76" s="8">
        <f>_xlfn.COMPOUNDVALUE(444)</f>
        <v>345</v>
      </c>
      <c r="D76" s="8">
        <f>_xlfn.COMPOUNDVALUE(599)</f>
        <v>105</v>
      </c>
      <c r="E76" s="9">
        <f>_xlfn.COMPOUNDVALUE(598)</f>
        <v>345</v>
      </c>
    </row>
    <row r="77" spans="1:5" ht="11.25">
      <c r="A77" s="7" t="str">
        <f>_xlfn.COMPOUNDVALUE(99)</f>
        <v>Nuku Hiva</v>
      </c>
      <c r="B77" s="8">
        <f>_xlfn.COMPOUNDVALUE(251)</f>
        <v>1134</v>
      </c>
      <c r="C77" s="8">
        <f>_xlfn.COMPOUNDVALUE(327)</f>
        <v>2967</v>
      </c>
      <c r="D77" s="8">
        <f>_xlfn.COMPOUNDVALUE(676)</f>
        <v>862</v>
      </c>
      <c r="E77" s="9">
        <f>_xlfn.COMPOUNDVALUE(675)</f>
        <v>2941</v>
      </c>
    </row>
    <row r="78" spans="1:5" ht="11.25">
      <c r="A78" s="10" t="str">
        <f>_xlfn.COMPOUNDVALUE(175)</f>
        <v>Hatiheu</v>
      </c>
      <c r="B78" s="8">
        <f>_xlfn.COMPOUNDVALUE(443)</f>
        <v>221</v>
      </c>
      <c r="C78" s="8">
        <f>_xlfn.COMPOUNDVALUE(442)</f>
        <v>370</v>
      </c>
      <c r="D78" s="8">
        <f>_xlfn.COMPOUNDVALUE(597)</f>
        <v>114</v>
      </c>
      <c r="E78" s="9">
        <f>_xlfn.COMPOUNDVALUE(596)</f>
        <v>370</v>
      </c>
    </row>
    <row r="79" spans="1:5" ht="11.25">
      <c r="A79" s="10" t="str">
        <f>_xlfn.COMPOUNDVALUE(98)</f>
        <v>Taiohae</v>
      </c>
      <c r="B79" s="8">
        <f>_xlfn.COMPOUNDVALUE(250)</f>
        <v>761</v>
      </c>
      <c r="C79" s="8">
        <f>_xlfn.COMPOUNDVALUE(326)</f>
        <v>2133</v>
      </c>
      <c r="D79" s="8">
        <f>_xlfn.COMPOUNDVALUE(748)</f>
        <v>621</v>
      </c>
      <c r="E79" s="9">
        <f>_xlfn.COMPOUNDVALUE(747)</f>
        <v>2107</v>
      </c>
    </row>
    <row r="80" spans="1:5" ht="11.25">
      <c r="A80" s="10" t="str">
        <f>_xlfn.COMPOUNDVALUE(174)</f>
        <v>Taipivai</v>
      </c>
      <c r="B80" s="8">
        <f>_xlfn.COMPOUNDVALUE(441)</f>
        <v>152</v>
      </c>
      <c r="C80" s="8">
        <f>_xlfn.COMPOUNDVALUE(440)</f>
        <v>464</v>
      </c>
      <c r="D80" s="8">
        <f>_xlfn.COMPOUNDVALUE(595)</f>
        <v>127</v>
      </c>
      <c r="E80" s="9">
        <f>_xlfn.COMPOUNDVALUE(594)</f>
        <v>464</v>
      </c>
    </row>
    <row r="81" spans="1:5" ht="11.25">
      <c r="A81" s="7" t="str">
        <f>_xlfn.COMPOUNDVALUE(97)</f>
        <v>Tahuata</v>
      </c>
      <c r="B81" s="8">
        <f>_xlfn.COMPOUNDVALUE(249)</f>
        <v>213</v>
      </c>
      <c r="C81" s="8">
        <f>_xlfn.COMPOUNDVALUE(325)</f>
        <v>703</v>
      </c>
      <c r="D81" s="8">
        <f>_xlfn.COMPOUNDVALUE(674)</f>
        <v>170</v>
      </c>
      <c r="E81" s="9">
        <f>_xlfn.COMPOUNDVALUE(673)</f>
        <v>703</v>
      </c>
    </row>
    <row r="82" spans="1:5" ht="11.25">
      <c r="A82" s="7" t="str">
        <f>_xlfn.COMPOUNDVALUE(173)</f>
        <v>Ua Huka</v>
      </c>
      <c r="B82" s="8">
        <f>_xlfn.COMPOUNDVALUE(439)</f>
        <v>224</v>
      </c>
      <c r="C82" s="8">
        <f>_xlfn.COMPOUNDVALUE(438)</f>
        <v>621</v>
      </c>
      <c r="D82" s="8">
        <f>_xlfn.COMPOUNDVALUE(593)</f>
        <v>167</v>
      </c>
      <c r="E82" s="9">
        <f>_xlfn.COMPOUNDVALUE(592)</f>
        <v>621</v>
      </c>
    </row>
    <row r="83" spans="1:5" ht="11.25">
      <c r="A83" s="7" t="str">
        <f>_xlfn.COMPOUNDVALUE(96)</f>
        <v>Ua Pou</v>
      </c>
      <c r="B83" s="8">
        <f>_xlfn.COMPOUNDVALUE(248)</f>
        <v>745</v>
      </c>
      <c r="C83" s="8">
        <f>_xlfn.COMPOUNDVALUE(324)</f>
        <v>2175</v>
      </c>
      <c r="D83" s="8">
        <f>_xlfn.COMPOUNDVALUE(746)</f>
        <v>589</v>
      </c>
      <c r="E83" s="9">
        <f>_xlfn.COMPOUNDVALUE(745)</f>
        <v>2174</v>
      </c>
    </row>
    <row r="84" spans="1:5" ht="11.25">
      <c r="A84" s="10" t="str">
        <f>_xlfn.COMPOUNDVALUE(172)</f>
        <v>Hakahau</v>
      </c>
      <c r="B84" s="8">
        <f>_xlfn.COMPOUNDVALUE(437)</f>
        <v>575</v>
      </c>
      <c r="C84" s="8">
        <f>_xlfn.COMPOUNDVALUE(436)</f>
        <v>1610</v>
      </c>
      <c r="D84" s="8">
        <f>_xlfn.COMPOUNDVALUE(591)</f>
        <v>444</v>
      </c>
      <c r="E84" s="9">
        <f>_xlfn.COMPOUNDVALUE(590)</f>
        <v>1609</v>
      </c>
    </row>
    <row r="85" spans="1:5" ht="11.25">
      <c r="A85" s="10" t="str">
        <f>_xlfn.COMPOUNDVALUE(95)</f>
        <v>Hakamaii</v>
      </c>
      <c r="B85" s="8">
        <f>_xlfn.COMPOUNDVALUE(247)</f>
        <v>170</v>
      </c>
      <c r="C85" s="8">
        <f>_xlfn.COMPOUNDVALUE(323)</f>
        <v>565</v>
      </c>
      <c r="D85" s="8">
        <f>_xlfn.COMPOUNDVALUE(672)</f>
        <v>145</v>
      </c>
      <c r="E85" s="9">
        <f>_xlfn.COMPOUNDVALUE(671)</f>
        <v>565</v>
      </c>
    </row>
    <row r="86" spans="1:5" ht="11.25">
      <c r="A86" s="19" t="str">
        <f>_xlfn.COMPOUNDVALUE(171)</f>
        <v>Australes</v>
      </c>
      <c r="B86" s="20">
        <f>_xlfn.COMPOUNDVALUE(435)</f>
        <v>2319</v>
      </c>
      <c r="C86" s="20">
        <f>_xlfn.COMPOUNDVALUE(434)</f>
        <v>6820</v>
      </c>
      <c r="D86" s="20">
        <f>_xlfn.COMPOUNDVALUE(589)</f>
        <v>1837</v>
      </c>
      <c r="E86" s="21">
        <f>_xlfn.COMPOUNDVALUE(588)</f>
        <v>6739</v>
      </c>
    </row>
    <row r="87" spans="1:5" ht="11.25">
      <c r="A87" s="7" t="str">
        <f>_xlfn.COMPOUNDVALUE(94)</f>
        <v>Raivavae</v>
      </c>
      <c r="B87" s="8">
        <f>_xlfn.COMPOUNDVALUE(246)</f>
        <v>318</v>
      </c>
      <c r="C87" s="8">
        <f>_xlfn.COMPOUNDVALUE(322)</f>
        <v>940</v>
      </c>
      <c r="D87" s="8">
        <f>_xlfn.COMPOUNDVALUE(744)</f>
        <v>237</v>
      </c>
      <c r="E87" s="9">
        <f>_xlfn.COMPOUNDVALUE(743)</f>
        <v>940</v>
      </c>
    </row>
    <row r="88" spans="1:5" ht="11.25">
      <c r="A88" s="10" t="str">
        <f>_xlfn.COMPOUNDVALUE(170)</f>
        <v>Anatonu</v>
      </c>
      <c r="B88" s="8">
        <f>_xlfn.COMPOUNDVALUE(433)</f>
        <v>78</v>
      </c>
      <c r="C88" s="8">
        <f>_xlfn.COMPOUNDVALUE(432)</f>
        <v>253</v>
      </c>
      <c r="D88" s="8">
        <f>_xlfn.COMPOUNDVALUE(587)</f>
        <v>61</v>
      </c>
      <c r="E88" s="9">
        <f>_xlfn.COMPOUNDVALUE(586)</f>
        <v>253</v>
      </c>
    </row>
    <row r="89" spans="1:5" ht="11.25">
      <c r="A89" s="10" t="str">
        <f>_xlfn.COMPOUNDVALUE(93)</f>
        <v>Rairua-Mahanatoa</v>
      </c>
      <c r="B89" s="8">
        <f>_xlfn.COMPOUNDVALUE(245)</f>
        <v>167</v>
      </c>
      <c r="C89" s="8">
        <f>_xlfn.COMPOUNDVALUE(321)</f>
        <v>446</v>
      </c>
      <c r="D89" s="8">
        <f>_xlfn.COMPOUNDVALUE(670)</f>
        <v>119</v>
      </c>
      <c r="E89" s="9">
        <f>_xlfn.COMPOUNDVALUE(669)</f>
        <v>446</v>
      </c>
    </row>
    <row r="90" spans="1:5" ht="11.25">
      <c r="A90" s="10" t="str">
        <f>_xlfn.COMPOUNDVALUE(169)</f>
        <v>Vaiuru</v>
      </c>
      <c r="B90" s="8">
        <f>_xlfn.COMPOUNDVALUE(431)</f>
        <v>73</v>
      </c>
      <c r="C90" s="8">
        <f>_xlfn.COMPOUNDVALUE(430)</f>
        <v>241</v>
      </c>
      <c r="D90" s="8">
        <f>_xlfn.COMPOUNDVALUE(585)</f>
        <v>57</v>
      </c>
      <c r="E90" s="9">
        <f>_xlfn.COMPOUNDVALUE(584)</f>
        <v>241</v>
      </c>
    </row>
    <row r="91" spans="1:5" ht="11.25">
      <c r="A91" s="7" t="str">
        <f>_xlfn.COMPOUNDVALUE(92)</f>
        <v>Rapa</v>
      </c>
      <c r="B91" s="8">
        <f>_xlfn.COMPOUNDVALUE(244)</f>
        <v>178</v>
      </c>
      <c r="C91" s="8">
        <f>_xlfn.COMPOUNDVALUE(320)</f>
        <v>515</v>
      </c>
      <c r="D91" s="8">
        <f>_xlfn.COMPOUNDVALUE(742)</f>
        <v>132</v>
      </c>
      <c r="E91" s="9">
        <f>_xlfn.COMPOUNDVALUE(741)</f>
        <v>515</v>
      </c>
    </row>
    <row r="92" spans="1:5" ht="11.25">
      <c r="A92" s="7" t="str">
        <f>_xlfn.COMPOUNDVALUE(168)</f>
        <v>Rimatara</v>
      </c>
      <c r="B92" s="8">
        <f>_xlfn.COMPOUNDVALUE(429)</f>
        <v>253</v>
      </c>
      <c r="C92" s="8">
        <f>_xlfn.COMPOUNDVALUE(428)</f>
        <v>873</v>
      </c>
      <c r="D92" s="8">
        <f>_xlfn.COMPOUNDVALUE(583)</f>
        <v>220</v>
      </c>
      <c r="E92" s="9">
        <f>_xlfn.COMPOUNDVALUE(582)</f>
        <v>873</v>
      </c>
    </row>
    <row r="93" spans="1:5" ht="11.25">
      <c r="A93" s="10" t="str">
        <f>_xlfn.COMPOUNDVALUE(91)</f>
        <v>Amaru</v>
      </c>
      <c r="B93" s="8">
        <f>_xlfn.COMPOUNDVALUE(243)</f>
        <v>97</v>
      </c>
      <c r="C93" s="8">
        <f>_xlfn.COMPOUNDVALUE(319)</f>
        <v>296</v>
      </c>
      <c r="D93" s="8">
        <f>_xlfn.COMPOUNDVALUE(668)</f>
        <v>82</v>
      </c>
      <c r="E93" s="9">
        <f>_xlfn.COMPOUNDVALUE(667)</f>
        <v>296</v>
      </c>
    </row>
    <row r="94" spans="1:5" ht="11.25">
      <c r="A94" s="10" t="str">
        <f>_xlfn.COMPOUNDVALUE(167)</f>
        <v>Anapoto</v>
      </c>
      <c r="B94" s="8">
        <f>_xlfn.COMPOUNDVALUE(427)</f>
        <v>56</v>
      </c>
      <c r="C94" s="8">
        <f>_xlfn.COMPOUNDVALUE(426)</f>
        <v>270</v>
      </c>
      <c r="D94" s="8">
        <f>_xlfn.COMPOUNDVALUE(581)</f>
        <v>52</v>
      </c>
      <c r="E94" s="9">
        <f>_xlfn.COMPOUNDVALUE(580)</f>
        <v>270</v>
      </c>
    </row>
    <row r="95" spans="1:5" ht="11.25">
      <c r="A95" s="10" t="str">
        <f>_xlfn.COMPOUNDVALUE(90)</f>
        <v>Mutuaura</v>
      </c>
      <c r="B95" s="8">
        <f>_xlfn.COMPOUNDVALUE(242)</f>
        <v>100</v>
      </c>
      <c r="C95" s="8">
        <f>_xlfn.COMPOUNDVALUE(318)</f>
        <v>307</v>
      </c>
      <c r="D95" s="8">
        <f>_xlfn.COMPOUNDVALUE(740)</f>
        <v>86</v>
      </c>
      <c r="E95" s="9">
        <f>_xlfn.COMPOUNDVALUE(739)</f>
        <v>307</v>
      </c>
    </row>
    <row r="96" spans="1:5" ht="11.25">
      <c r="A96" s="7" t="str">
        <f>_xlfn.COMPOUNDVALUE(166)</f>
        <v>Rurutu</v>
      </c>
      <c r="B96" s="8">
        <f>_xlfn.COMPOUNDVALUE(425)</f>
        <v>748</v>
      </c>
      <c r="C96" s="8">
        <f>_xlfn.COMPOUNDVALUE(424)</f>
        <v>2322</v>
      </c>
      <c r="D96" s="8">
        <f>_xlfn.COMPOUNDVALUE(579)</f>
        <v>600</v>
      </c>
      <c r="E96" s="9">
        <f>_xlfn.COMPOUNDVALUE(578)</f>
        <v>2315</v>
      </c>
    </row>
    <row r="97" spans="1:5" ht="11.25">
      <c r="A97" s="10" t="str">
        <f>_xlfn.COMPOUNDVALUE(89)</f>
        <v>Avera (Rurutu)</v>
      </c>
      <c r="B97" s="8">
        <f>_xlfn.COMPOUNDVALUE(241)</f>
        <v>267</v>
      </c>
      <c r="C97" s="8">
        <f>_xlfn.COMPOUNDVALUE(317)</f>
        <v>847</v>
      </c>
      <c r="D97" s="8">
        <f>_xlfn.COMPOUNDVALUE(666)</f>
        <v>220</v>
      </c>
      <c r="E97" s="9">
        <f>_xlfn.COMPOUNDVALUE(665)</f>
        <v>847</v>
      </c>
    </row>
    <row r="98" spans="1:5" ht="11.25">
      <c r="A98" s="10" t="str">
        <f>_xlfn.COMPOUNDVALUE(165)</f>
        <v>Hauti</v>
      </c>
      <c r="B98" s="8">
        <f>_xlfn.COMPOUNDVALUE(423)</f>
        <v>115</v>
      </c>
      <c r="C98" s="8">
        <f>_xlfn.COMPOUNDVALUE(422)</f>
        <v>401</v>
      </c>
      <c r="D98" s="8">
        <f>_xlfn.COMPOUNDVALUE(577)</f>
        <v>86</v>
      </c>
      <c r="E98" s="9">
        <f>_xlfn.COMPOUNDVALUE(576)</f>
        <v>394</v>
      </c>
    </row>
    <row r="99" spans="1:5" ht="11.25">
      <c r="A99" s="10" t="str">
        <f>_xlfn.COMPOUNDVALUE(88)</f>
        <v>Moerai</v>
      </c>
      <c r="B99" s="8">
        <f>_xlfn.COMPOUNDVALUE(240)</f>
        <v>366</v>
      </c>
      <c r="C99" s="8">
        <f>_xlfn.COMPOUNDVALUE(316)</f>
        <v>1074</v>
      </c>
      <c r="D99" s="8">
        <f>_xlfn.COMPOUNDVALUE(738)</f>
        <v>294</v>
      </c>
      <c r="E99" s="9">
        <f>_xlfn.COMPOUNDVALUE(737)</f>
        <v>1074</v>
      </c>
    </row>
    <row r="100" spans="1:5" ht="11.25">
      <c r="A100" s="7" t="str">
        <f>_xlfn.COMPOUNDVALUE(164)</f>
        <v>Tubuai</v>
      </c>
      <c r="B100" s="8">
        <f>_xlfn.COMPOUNDVALUE(421)</f>
        <v>822</v>
      </c>
      <c r="C100" s="8">
        <f>_xlfn.COMPOUNDVALUE(420)</f>
        <v>2170</v>
      </c>
      <c r="D100" s="8">
        <f>_xlfn.COMPOUNDVALUE(575)</f>
        <v>648</v>
      </c>
      <c r="E100" s="9">
        <f>_xlfn.COMPOUNDVALUE(574)</f>
        <v>2096</v>
      </c>
    </row>
    <row r="101" spans="1:5" ht="11.25">
      <c r="A101" s="10" t="str">
        <f>_xlfn.COMPOUNDVALUE(87)</f>
        <v>Mahu</v>
      </c>
      <c r="B101" s="8">
        <f>_xlfn.COMPOUNDVALUE(239)</f>
        <v>206</v>
      </c>
      <c r="C101" s="8">
        <f>_xlfn.COMPOUNDVALUE(315)</f>
        <v>573</v>
      </c>
      <c r="D101" s="8">
        <f>_xlfn.COMPOUNDVALUE(664)</f>
        <v>167</v>
      </c>
      <c r="E101" s="9">
        <f>_xlfn.COMPOUNDVALUE(663)</f>
        <v>573</v>
      </c>
    </row>
    <row r="102" spans="1:5" ht="11.25">
      <c r="A102" s="10" t="str">
        <f>_xlfn.COMPOUNDVALUE(163)</f>
        <v>Mataura</v>
      </c>
      <c r="B102" s="8">
        <f>_xlfn.COMPOUNDVALUE(419)</f>
        <v>373</v>
      </c>
      <c r="C102" s="8">
        <f>_xlfn.COMPOUNDVALUE(418)</f>
        <v>1025</v>
      </c>
      <c r="D102" s="8">
        <f>_xlfn.COMPOUNDVALUE(573)</f>
        <v>301</v>
      </c>
      <c r="E102" s="9">
        <f>_xlfn.COMPOUNDVALUE(572)</f>
        <v>956</v>
      </c>
    </row>
    <row r="103" spans="1:5" ht="11.25">
      <c r="A103" s="10" t="str">
        <f>_xlfn.COMPOUNDVALUE(86)</f>
        <v>Taahuaia</v>
      </c>
      <c r="B103" s="8">
        <f>_xlfn.COMPOUNDVALUE(238)</f>
        <v>243</v>
      </c>
      <c r="C103" s="8">
        <f>_xlfn.COMPOUNDVALUE(314)</f>
        <v>572</v>
      </c>
      <c r="D103" s="8">
        <f>_xlfn.COMPOUNDVALUE(736)</f>
        <v>180</v>
      </c>
      <c r="E103" s="9">
        <f>_xlfn.COMPOUNDVALUE(735)</f>
        <v>567</v>
      </c>
    </row>
    <row r="104" spans="1:5" ht="11.25">
      <c r="A104" s="19" t="str">
        <f>_xlfn.COMPOUNDVALUE(162)</f>
        <v>Tuamotu-Gambier</v>
      </c>
      <c r="B104" s="20">
        <f>_xlfn.COMPOUNDVALUE(417)</f>
        <v>6250</v>
      </c>
      <c r="C104" s="20">
        <f>_xlfn.COMPOUNDVALUE(416)</f>
        <v>16831</v>
      </c>
      <c r="D104" s="20">
        <f>_xlfn.COMPOUNDVALUE(571)</f>
        <v>4681</v>
      </c>
      <c r="E104" s="21">
        <f>_xlfn.COMPOUNDVALUE(570)</f>
        <v>16398</v>
      </c>
    </row>
    <row r="105" spans="1:5" ht="11.25">
      <c r="A105" s="7" t="str">
        <f>_xlfn.COMPOUNDVALUE(85)</f>
        <v>Anaa</v>
      </c>
      <c r="B105" s="8">
        <f>_xlfn.COMPOUNDVALUE(237)</f>
        <v>293</v>
      </c>
      <c r="C105" s="8">
        <f>_xlfn.COMPOUNDVALUE(313)</f>
        <v>898</v>
      </c>
      <c r="D105" s="8">
        <f>_xlfn.COMPOUNDVALUE(662)</f>
        <v>213</v>
      </c>
      <c r="E105" s="9">
        <f>_xlfn.COMPOUNDVALUE(661)</f>
        <v>898</v>
      </c>
    </row>
    <row r="106" spans="1:5" ht="11.25">
      <c r="A106" s="10" t="str">
        <f>_xlfn.COMPOUNDVALUE(161)</f>
        <v>Anaa</v>
      </c>
      <c r="B106" s="8">
        <f>_xlfn.COMPOUNDVALUE(415)</f>
        <v>198</v>
      </c>
      <c r="C106" s="8">
        <f>_xlfn.COMPOUNDVALUE(414)</f>
        <v>497</v>
      </c>
      <c r="D106" s="8">
        <f>_xlfn.COMPOUNDVALUE(569)</f>
        <v>132</v>
      </c>
      <c r="E106" s="9">
        <f>_xlfn.COMPOUNDVALUE(568)</f>
        <v>497</v>
      </c>
    </row>
    <row r="107" spans="1:5" ht="11.25">
      <c r="A107" s="10" t="str">
        <f>_xlfn.COMPOUNDVALUE(84)</f>
        <v>Faaite</v>
      </c>
      <c r="B107" s="8">
        <f>_xlfn.COMPOUNDVALUE(236)</f>
        <v>95</v>
      </c>
      <c r="C107" s="8">
        <f>_xlfn.COMPOUNDVALUE(312)</f>
        <v>401</v>
      </c>
      <c r="D107" s="8">
        <f>_xlfn.COMPOUNDVALUE(734)</f>
        <v>81</v>
      </c>
      <c r="E107" s="9">
        <f>_xlfn.COMPOUNDVALUE(733)</f>
        <v>401</v>
      </c>
    </row>
    <row r="108" spans="1:5" ht="11.25">
      <c r="A108" s="7" t="str">
        <f>_xlfn.COMPOUNDVALUE(160)</f>
        <v>Arutua</v>
      </c>
      <c r="B108" s="8">
        <f>_xlfn.COMPOUNDVALUE(413)</f>
        <v>603</v>
      </c>
      <c r="C108" s="8">
        <f>_xlfn.COMPOUNDVALUE(412)</f>
        <v>1505</v>
      </c>
      <c r="D108" s="8">
        <f>_xlfn.COMPOUNDVALUE(567)</f>
        <v>427</v>
      </c>
      <c r="E108" s="9">
        <f>_xlfn.COMPOUNDVALUE(566)</f>
        <v>1489</v>
      </c>
    </row>
    <row r="109" spans="1:5" ht="11.25">
      <c r="A109" s="10" t="str">
        <f>_xlfn.COMPOUNDVALUE(83)</f>
        <v>Apataki</v>
      </c>
      <c r="B109" s="8">
        <f>_xlfn.COMPOUNDVALUE(235)</f>
        <v>137</v>
      </c>
      <c r="C109" s="8">
        <f>_xlfn.COMPOUNDVALUE(311)</f>
        <v>350</v>
      </c>
      <c r="D109" s="8">
        <f>_xlfn.COMPOUNDVALUE(660)</f>
        <v>105</v>
      </c>
      <c r="E109" s="9">
        <f>_xlfn.COMPOUNDVALUE(659)</f>
        <v>350</v>
      </c>
    </row>
    <row r="110" spans="1:5" ht="11.25">
      <c r="A110" s="10" t="str">
        <f>_xlfn.COMPOUNDVALUE(159)</f>
        <v>Arutua</v>
      </c>
      <c r="B110" s="8">
        <f>_xlfn.COMPOUNDVALUE(411)</f>
        <v>263</v>
      </c>
      <c r="C110" s="8">
        <f>_xlfn.COMPOUNDVALUE(410)</f>
        <v>680</v>
      </c>
      <c r="D110" s="8">
        <f>_xlfn.COMPOUNDVALUE(565)</f>
        <v>192</v>
      </c>
      <c r="E110" s="9">
        <f>_xlfn.COMPOUNDVALUE(564)</f>
        <v>664</v>
      </c>
    </row>
    <row r="111" spans="1:5" ht="11.25">
      <c r="A111" s="10" t="str">
        <f>_xlfn.COMPOUNDVALUE(82)</f>
        <v>Kaukura</v>
      </c>
      <c r="B111" s="8">
        <f>_xlfn.COMPOUNDVALUE(234)</f>
        <v>203</v>
      </c>
      <c r="C111" s="8">
        <f>_xlfn.COMPOUNDVALUE(310)</f>
        <v>475</v>
      </c>
      <c r="D111" s="8">
        <f>_xlfn.COMPOUNDVALUE(732)</f>
        <v>130</v>
      </c>
      <c r="E111" s="9">
        <f>_xlfn.COMPOUNDVALUE(731)</f>
        <v>475</v>
      </c>
    </row>
    <row r="112" spans="1:5" ht="11.25">
      <c r="A112" s="7" t="str">
        <f>_xlfn.COMPOUNDVALUE(158)</f>
        <v>Fakarava</v>
      </c>
      <c r="B112" s="8">
        <f>_xlfn.COMPOUNDVALUE(409)</f>
        <v>631</v>
      </c>
      <c r="C112" s="8">
        <f>_xlfn.COMPOUNDVALUE(408)</f>
        <v>1581</v>
      </c>
      <c r="D112" s="8">
        <f>_xlfn.COMPOUNDVALUE(563)</f>
        <v>482</v>
      </c>
      <c r="E112" s="9">
        <f>_xlfn.COMPOUNDVALUE(562)</f>
        <v>1557</v>
      </c>
    </row>
    <row r="113" spans="1:5" ht="11.25">
      <c r="A113" s="10" t="str">
        <f>_xlfn.COMPOUNDVALUE(81)</f>
        <v>Fakarava</v>
      </c>
      <c r="B113" s="8">
        <f>_xlfn.COMPOUNDVALUE(233)</f>
        <v>338</v>
      </c>
      <c r="C113" s="8">
        <f>_xlfn.COMPOUNDVALUE(309)</f>
        <v>824</v>
      </c>
      <c r="D113" s="8">
        <f>_xlfn.COMPOUNDVALUE(658)</f>
        <v>259</v>
      </c>
      <c r="E113" s="9">
        <f>_xlfn.COMPOUNDVALUE(657)</f>
        <v>808</v>
      </c>
    </row>
    <row r="114" spans="1:5" ht="11.25">
      <c r="A114" s="10" t="str">
        <f>_xlfn.COMPOUNDVALUE(157)</f>
        <v>Kauehi</v>
      </c>
      <c r="B114" s="8">
        <f>_xlfn.COMPOUNDVALUE(407)</f>
        <v>212</v>
      </c>
      <c r="C114" s="8">
        <f>_xlfn.COMPOUNDVALUE(406)</f>
        <v>531</v>
      </c>
      <c r="D114" s="8">
        <f>_xlfn.COMPOUNDVALUE(561)</f>
        <v>148</v>
      </c>
      <c r="E114" s="9">
        <f>_xlfn.COMPOUNDVALUE(560)</f>
        <v>523</v>
      </c>
    </row>
    <row r="115" spans="1:5" ht="11.25">
      <c r="A115" s="10" t="str">
        <f>_xlfn.COMPOUNDVALUE(80)</f>
        <v>Niau</v>
      </c>
      <c r="B115" s="8">
        <f>_xlfn.COMPOUNDVALUE(232)</f>
        <v>81</v>
      </c>
      <c r="C115" s="8">
        <f>_xlfn.COMPOUNDVALUE(308)</f>
        <v>226</v>
      </c>
      <c r="D115" s="8">
        <f>_xlfn.COMPOUNDVALUE(730)</f>
        <v>75</v>
      </c>
      <c r="E115" s="9">
        <f>_xlfn.COMPOUNDVALUE(729)</f>
        <v>226</v>
      </c>
    </row>
    <row r="116" spans="1:5" ht="11.25">
      <c r="A116" s="7" t="str">
        <f>_xlfn.COMPOUNDVALUE(156)</f>
        <v>Fangatau</v>
      </c>
      <c r="B116" s="8">
        <f>_xlfn.COMPOUNDVALUE(405)</f>
        <v>142</v>
      </c>
      <c r="C116" s="8">
        <f>_xlfn.COMPOUNDVALUE(404)</f>
        <v>300</v>
      </c>
      <c r="D116" s="8">
        <f>_xlfn.COMPOUNDVALUE(559)</f>
        <v>103</v>
      </c>
      <c r="E116" s="9">
        <f>_xlfn.COMPOUNDVALUE(558)</f>
        <v>300</v>
      </c>
    </row>
    <row r="117" spans="1:5" ht="11.25">
      <c r="A117" s="10" t="str">
        <f>_xlfn.COMPOUNDVALUE(79)</f>
        <v>Fakahina</v>
      </c>
      <c r="B117" s="8">
        <f>_xlfn.COMPOUNDVALUE(231)</f>
        <v>73</v>
      </c>
      <c r="C117" s="8">
        <f>_xlfn.COMPOUNDVALUE(307)</f>
        <v>155</v>
      </c>
      <c r="D117" s="8">
        <f>_xlfn.COMPOUNDVALUE(656)</f>
        <v>60</v>
      </c>
      <c r="E117" s="9">
        <f>_xlfn.COMPOUNDVALUE(655)</f>
        <v>155</v>
      </c>
    </row>
    <row r="118" spans="1:5" ht="11.25">
      <c r="A118" s="10" t="str">
        <f>_xlfn.COMPOUNDVALUE(155)</f>
        <v>Fangatau</v>
      </c>
      <c r="B118" s="8">
        <f>_xlfn.COMPOUNDVALUE(403)</f>
        <v>69</v>
      </c>
      <c r="C118" s="8">
        <f>_xlfn.COMPOUNDVALUE(402)</f>
        <v>145</v>
      </c>
      <c r="D118" s="8">
        <f>_xlfn.COMPOUNDVALUE(557)</f>
        <v>43</v>
      </c>
      <c r="E118" s="9">
        <f>_xlfn.COMPOUNDVALUE(556)</f>
        <v>145</v>
      </c>
    </row>
    <row r="119" spans="1:5" ht="11.25">
      <c r="A119" s="7" t="str">
        <f>_xlfn.COMPOUNDVALUE(78)</f>
        <v>Gambier</v>
      </c>
      <c r="B119" s="8">
        <f>_xlfn.COMPOUNDVALUE(230)</f>
        <v>453</v>
      </c>
      <c r="C119" s="8">
        <f>_xlfn.COMPOUNDVALUE(306)</f>
        <v>1421</v>
      </c>
      <c r="D119" s="8">
        <f>_xlfn.COMPOUNDVALUE(728)</f>
        <v>407</v>
      </c>
      <c r="E119" s="9">
        <f>_xlfn.COMPOUNDVALUE(727)</f>
        <v>1376</v>
      </c>
    </row>
    <row r="120" spans="1:5" ht="11.25">
      <c r="A120" s="7" t="str">
        <f>_xlfn.COMPOUNDVALUE(154)</f>
        <v>Hao</v>
      </c>
      <c r="B120" s="8">
        <f>_xlfn.COMPOUNDVALUE(401)</f>
        <v>441</v>
      </c>
      <c r="C120" s="8">
        <f>_xlfn.COMPOUNDVALUE(400)</f>
        <v>1317</v>
      </c>
      <c r="D120" s="8">
        <f>_xlfn.COMPOUNDVALUE(555)</f>
        <v>344</v>
      </c>
      <c r="E120" s="9">
        <f>_xlfn.COMPOUNDVALUE(554)</f>
        <v>1271</v>
      </c>
    </row>
    <row r="121" spans="1:5" ht="11.25">
      <c r="A121" s="10" t="str">
        <f>_xlfn.COMPOUNDVALUE(77)</f>
        <v>Amanu</v>
      </c>
      <c r="B121" s="8">
        <f>_xlfn.COMPOUNDVALUE(229)</f>
        <v>62</v>
      </c>
      <c r="C121" s="8">
        <f>_xlfn.COMPOUNDVALUE(305)</f>
        <v>195</v>
      </c>
      <c r="D121" s="8">
        <f>_xlfn.COMPOUNDVALUE(654)</f>
        <v>49</v>
      </c>
      <c r="E121" s="9">
        <f>_xlfn.COMPOUNDVALUE(653)</f>
        <v>195</v>
      </c>
    </row>
    <row r="122" spans="1:5" ht="11.25">
      <c r="A122" s="10" t="str">
        <f>_xlfn.COMPOUNDVALUE(153)</f>
        <v>Hao</v>
      </c>
      <c r="B122" s="8">
        <f>_xlfn.COMPOUNDVALUE(399)</f>
        <v>357</v>
      </c>
      <c r="C122" s="8">
        <f>_xlfn.COMPOUNDVALUE(398)</f>
        <v>1066</v>
      </c>
      <c r="D122" s="8">
        <f>_xlfn.COMPOUNDVALUE(553)</f>
        <v>279</v>
      </c>
      <c r="E122" s="9">
        <f>_xlfn.COMPOUNDVALUE(552)</f>
        <v>1020</v>
      </c>
    </row>
    <row r="123" spans="1:5" ht="11.25">
      <c r="A123" s="10" t="str">
        <f>_xlfn.COMPOUNDVALUE(76)</f>
        <v>Hereheretue</v>
      </c>
      <c r="B123" s="8">
        <f>_xlfn.COMPOUNDVALUE(228)</f>
        <v>22</v>
      </c>
      <c r="C123" s="8">
        <f>_xlfn.COMPOUNDVALUE(304)</f>
        <v>56</v>
      </c>
      <c r="D123" s="8">
        <f>_xlfn.COMPOUNDVALUE(726)</f>
        <v>16</v>
      </c>
      <c r="E123" s="9">
        <f>_xlfn.COMPOUNDVALUE(725)</f>
        <v>56</v>
      </c>
    </row>
    <row r="124" spans="1:5" ht="11.25">
      <c r="A124" s="7" t="str">
        <f>_xlfn.COMPOUNDVALUE(152)</f>
        <v>Hikueru</v>
      </c>
      <c r="B124" s="8">
        <f>_xlfn.COMPOUNDVALUE(397)</f>
        <v>90</v>
      </c>
      <c r="C124" s="8">
        <f>_xlfn.COMPOUNDVALUE(396)</f>
        <v>241</v>
      </c>
      <c r="D124" s="8">
        <f>_xlfn.COMPOUNDVALUE(551)</f>
        <v>65</v>
      </c>
      <c r="E124" s="9">
        <f>_xlfn.COMPOUNDVALUE(550)</f>
        <v>241</v>
      </c>
    </row>
    <row r="125" spans="1:5" ht="11.25">
      <c r="A125" s="10" t="str">
        <f>_xlfn.COMPOUNDVALUE(75)</f>
        <v>Hikueru</v>
      </c>
      <c r="B125" s="8">
        <f>_xlfn.COMPOUNDVALUE(227)</f>
        <v>60</v>
      </c>
      <c r="C125" s="8">
        <f>_xlfn.COMPOUNDVALUE(303)</f>
        <v>150</v>
      </c>
      <c r="D125" s="8">
        <f>_xlfn.COMPOUNDVALUE(652)</f>
        <v>41</v>
      </c>
      <c r="E125" s="9">
        <f>_xlfn.COMPOUNDVALUE(651)</f>
        <v>150</v>
      </c>
    </row>
    <row r="126" spans="1:5" ht="11.25">
      <c r="A126" s="10" t="str">
        <f>_xlfn.COMPOUNDVALUE(151)</f>
        <v>Marokau</v>
      </c>
      <c r="B126" s="8">
        <f>_xlfn.COMPOUNDVALUE(395)</f>
        <v>30</v>
      </c>
      <c r="C126" s="8">
        <f>_xlfn.COMPOUNDVALUE(394)</f>
        <v>91</v>
      </c>
      <c r="D126" s="8">
        <f>_xlfn.COMPOUNDVALUE(549)</f>
        <v>24</v>
      </c>
      <c r="E126" s="9">
        <f>_xlfn.COMPOUNDVALUE(548)</f>
        <v>91</v>
      </c>
    </row>
    <row r="127" spans="1:5" ht="11.25">
      <c r="A127" s="7" t="str">
        <f>_xlfn.COMPOUNDVALUE(74)</f>
        <v>Makemo</v>
      </c>
      <c r="B127" s="8">
        <f>_xlfn.COMPOUNDVALUE(226)</f>
        <v>543</v>
      </c>
      <c r="C127" s="8">
        <f>_xlfn.COMPOUNDVALUE(302)</f>
        <v>1555</v>
      </c>
      <c r="D127" s="8">
        <f>_xlfn.COMPOUNDVALUE(724)</f>
        <v>408</v>
      </c>
      <c r="E127" s="9">
        <f>_xlfn.COMPOUNDVALUE(723)</f>
        <v>1495</v>
      </c>
    </row>
    <row r="128" spans="1:5" ht="11.25">
      <c r="A128" s="10" t="str">
        <f>_xlfn.COMPOUNDVALUE(150)</f>
        <v>Katiu</v>
      </c>
      <c r="B128" s="8">
        <f>_xlfn.COMPOUNDVALUE(393)</f>
        <v>87</v>
      </c>
      <c r="C128" s="8">
        <f>_xlfn.COMPOUNDVALUE(392)</f>
        <v>250</v>
      </c>
      <c r="D128" s="8">
        <f>_xlfn.COMPOUNDVALUE(547)</f>
        <v>59</v>
      </c>
      <c r="E128" s="9">
        <f>_xlfn.COMPOUNDVALUE(546)</f>
        <v>250</v>
      </c>
    </row>
    <row r="129" spans="1:5" ht="11.25">
      <c r="A129" s="10" t="str">
        <f>_xlfn.COMPOUNDVALUE(73)</f>
        <v>Makemo</v>
      </c>
      <c r="B129" s="8">
        <f>_xlfn.COMPOUNDVALUE(225)</f>
        <v>304</v>
      </c>
      <c r="C129" s="8">
        <f>_xlfn.COMPOUNDVALUE(301)</f>
        <v>832</v>
      </c>
      <c r="D129" s="8">
        <f>_xlfn.COMPOUNDVALUE(650)</f>
        <v>216</v>
      </c>
      <c r="E129" s="9">
        <f>_xlfn.COMPOUNDVALUE(649)</f>
        <v>830</v>
      </c>
    </row>
    <row r="130" spans="1:5" ht="11.25">
      <c r="A130" s="10" t="str">
        <f>_xlfn.COMPOUNDVALUE(149)</f>
        <v>Raroia</v>
      </c>
      <c r="B130" s="8">
        <f>_xlfn.COMPOUNDVALUE(391)</f>
        <v>109</v>
      </c>
      <c r="C130" s="8">
        <f>_xlfn.COMPOUNDVALUE(390)</f>
        <v>349</v>
      </c>
      <c r="D130" s="8">
        <f>_xlfn.COMPOUNDVALUE(545)</f>
        <v>98</v>
      </c>
      <c r="E130" s="9">
        <f>_xlfn.COMPOUNDVALUE(544)</f>
        <v>291</v>
      </c>
    </row>
    <row r="131" spans="1:5" ht="11.25">
      <c r="A131" s="10" t="str">
        <f>_xlfn.COMPOUNDVALUE(72)</f>
        <v>Taenga</v>
      </c>
      <c r="B131" s="8">
        <f>_xlfn.COMPOUNDVALUE(224)</f>
        <v>43</v>
      </c>
      <c r="C131" s="8">
        <f>_xlfn.COMPOUNDVALUE(300)</f>
        <v>124</v>
      </c>
      <c r="D131" s="8">
        <f>_xlfn.COMPOUNDVALUE(722)</f>
        <v>35</v>
      </c>
      <c r="E131" s="9">
        <f>_xlfn.COMPOUNDVALUE(721)</f>
        <v>124</v>
      </c>
    </row>
    <row r="132" spans="1:5" ht="11.25">
      <c r="A132" s="7" t="str">
        <f>_xlfn.COMPOUNDVALUE(148)</f>
        <v>Manihi</v>
      </c>
      <c r="B132" s="8">
        <f>_xlfn.COMPOUNDVALUE(389)</f>
        <v>441</v>
      </c>
      <c r="C132" s="8">
        <f>_xlfn.COMPOUNDVALUE(388)</f>
        <v>1237</v>
      </c>
      <c r="D132" s="8">
        <f>_xlfn.COMPOUNDVALUE(543)</f>
        <v>327</v>
      </c>
      <c r="E132" s="9">
        <f>_xlfn.COMPOUNDVALUE(542)</f>
        <v>1106</v>
      </c>
    </row>
    <row r="133" spans="1:5" ht="11.25">
      <c r="A133" s="10" t="str">
        <f>_xlfn.COMPOUNDVALUE(71)</f>
        <v>Ahe</v>
      </c>
      <c r="B133" s="8">
        <f>_xlfn.COMPOUNDVALUE(223)</f>
        <v>176</v>
      </c>
      <c r="C133" s="8">
        <f>_xlfn.COMPOUNDVALUE(299)</f>
        <v>552</v>
      </c>
      <c r="D133" s="8">
        <f>_xlfn.COMPOUNDVALUE(648)</f>
        <v>140</v>
      </c>
      <c r="E133" s="9">
        <f>_xlfn.COMPOUNDVALUE(647)</f>
        <v>474</v>
      </c>
    </row>
    <row r="134" spans="1:5" ht="11.25">
      <c r="A134" s="10" t="str">
        <f>_xlfn.COMPOUNDVALUE(147)</f>
        <v>Manihi</v>
      </c>
      <c r="B134" s="8">
        <f>_xlfn.COMPOUNDVALUE(387)</f>
        <v>265</v>
      </c>
      <c r="C134" s="8">
        <f>_xlfn.COMPOUNDVALUE(386)</f>
        <v>685</v>
      </c>
      <c r="D134" s="8">
        <f>_xlfn.COMPOUNDVALUE(541)</f>
        <v>187</v>
      </c>
      <c r="E134" s="9">
        <f>_xlfn.COMPOUNDVALUE(540)</f>
        <v>632</v>
      </c>
    </row>
    <row r="135" spans="1:5" ht="11.25">
      <c r="A135" s="7" t="str">
        <f>_xlfn.COMPOUNDVALUE(70)</f>
        <v>Napuka</v>
      </c>
      <c r="B135" s="8">
        <f>_xlfn.COMPOUNDVALUE(222)</f>
        <v>132</v>
      </c>
      <c r="C135" s="8">
        <f>_xlfn.COMPOUNDVALUE(298)</f>
        <v>360</v>
      </c>
      <c r="D135" s="8">
        <f>_xlfn.COMPOUNDVALUE(720)</f>
        <v>104</v>
      </c>
      <c r="E135" s="9">
        <f>_xlfn.COMPOUNDVALUE(719)</f>
        <v>360</v>
      </c>
    </row>
    <row r="136" spans="1:5" ht="11.25">
      <c r="A136" s="10" t="str">
        <f>_xlfn.COMPOUNDVALUE(146)</f>
        <v>Napuka</v>
      </c>
      <c r="B136" s="8">
        <f>_xlfn.COMPOUNDVALUE(385)</f>
        <v>100</v>
      </c>
      <c r="C136" s="8">
        <f>_xlfn.COMPOUNDVALUE(384)</f>
        <v>299</v>
      </c>
      <c r="D136" s="8">
        <f>_xlfn.COMPOUNDVALUE(539)</f>
        <v>82</v>
      </c>
      <c r="E136" s="9">
        <f>_xlfn.COMPOUNDVALUE(538)</f>
        <v>299</v>
      </c>
    </row>
    <row r="137" spans="1:5" ht="11.25">
      <c r="A137" s="10" t="str">
        <f>_xlfn.COMPOUNDVALUE(69)</f>
        <v>Tepoto Nord</v>
      </c>
      <c r="B137" s="8">
        <f>_xlfn.COMPOUNDVALUE(221)</f>
        <v>32</v>
      </c>
      <c r="C137" s="8">
        <f>_xlfn.COMPOUNDVALUE(297)</f>
        <v>61</v>
      </c>
      <c r="D137" s="8">
        <f>_xlfn.COMPOUNDVALUE(646)</f>
        <v>22</v>
      </c>
      <c r="E137" s="9">
        <f>_xlfn.COMPOUNDVALUE(645)</f>
        <v>61</v>
      </c>
    </row>
    <row r="138" spans="1:5" ht="11.25">
      <c r="A138" s="7" t="str">
        <f>_xlfn.COMPOUNDVALUE(145)</f>
        <v>Nukutavake</v>
      </c>
      <c r="B138" s="8">
        <f>_xlfn.COMPOUNDVALUE(383)</f>
        <v>106</v>
      </c>
      <c r="C138" s="8">
        <f>_xlfn.COMPOUNDVALUE(382)</f>
        <v>350</v>
      </c>
      <c r="D138" s="8">
        <f>_xlfn.COMPOUNDVALUE(537)</f>
        <v>94</v>
      </c>
      <c r="E138" s="9">
        <f>_xlfn.COMPOUNDVALUE(536)</f>
        <v>350</v>
      </c>
    </row>
    <row r="139" spans="1:5" ht="11.25">
      <c r="A139" s="10" t="str">
        <f>_xlfn.COMPOUNDVALUE(68)</f>
        <v>Nukutavake</v>
      </c>
      <c r="B139" s="8">
        <f>_xlfn.COMPOUNDVALUE(220)</f>
        <v>55</v>
      </c>
      <c r="C139" s="8">
        <f>_xlfn.COMPOUNDVALUE(296)</f>
        <v>188</v>
      </c>
      <c r="D139" s="8">
        <f>_xlfn.COMPOUNDVALUE(718)</f>
        <v>48</v>
      </c>
      <c r="E139" s="9">
        <f>_xlfn.COMPOUNDVALUE(717)</f>
        <v>188</v>
      </c>
    </row>
    <row r="140" spans="1:5" ht="11.25">
      <c r="A140" s="10" t="str">
        <f>_xlfn.COMPOUNDVALUE(144)</f>
        <v>Vahitahi</v>
      </c>
      <c r="B140" s="8">
        <f>_xlfn.COMPOUNDVALUE(381)</f>
        <v>31</v>
      </c>
      <c r="C140" s="8">
        <f>_xlfn.COMPOUNDVALUE(380)</f>
        <v>105</v>
      </c>
      <c r="D140" s="8">
        <f>_xlfn.COMPOUNDVALUE(535)</f>
        <v>29</v>
      </c>
      <c r="E140" s="9">
        <f>_xlfn.COMPOUNDVALUE(534)</f>
        <v>105</v>
      </c>
    </row>
    <row r="141" spans="1:5" ht="11.25">
      <c r="A141" s="10" t="str">
        <f>_xlfn.COMPOUNDVALUE(67)</f>
        <v>Vairaatea</v>
      </c>
      <c r="B141" s="8">
        <f>_xlfn.COMPOUNDVALUE(219)</f>
        <v>20</v>
      </c>
      <c r="C141" s="8">
        <f>_xlfn.COMPOUNDVALUE(295)</f>
        <v>57</v>
      </c>
      <c r="D141" s="8">
        <f>_xlfn.COMPOUNDVALUE(644)</f>
        <v>17</v>
      </c>
      <c r="E141" s="9">
        <f>_xlfn.COMPOUNDVALUE(643)</f>
        <v>57</v>
      </c>
    </row>
    <row r="142" spans="1:5" ht="11.25">
      <c r="A142" s="7" t="str">
        <f>_xlfn.COMPOUNDVALUE(143)</f>
        <v>Pukapuka</v>
      </c>
      <c r="B142" s="8">
        <f>_xlfn.COMPOUNDVALUE(379)</f>
        <v>45</v>
      </c>
      <c r="C142" s="8">
        <f>_xlfn.COMPOUNDVALUE(378)</f>
        <v>166</v>
      </c>
      <c r="D142" s="8">
        <f>_xlfn.COMPOUNDVALUE(533)</f>
        <v>43</v>
      </c>
      <c r="E142" s="9">
        <f>_xlfn.COMPOUNDVALUE(532)</f>
        <v>166</v>
      </c>
    </row>
    <row r="143" spans="1:5" ht="11.25">
      <c r="A143" s="7" t="str">
        <f>_xlfn.COMPOUNDVALUE(66)</f>
        <v>Rangiroa</v>
      </c>
      <c r="B143" s="8">
        <f>_xlfn.COMPOUNDVALUE(218)</f>
        <v>1406</v>
      </c>
      <c r="C143" s="8">
        <f>_xlfn.COMPOUNDVALUE(294)</f>
        <v>3444</v>
      </c>
      <c r="D143" s="8">
        <f>_xlfn.COMPOUNDVALUE(716)</f>
        <v>1003</v>
      </c>
      <c r="E143" s="9">
        <f>_xlfn.COMPOUNDVALUE(715)</f>
        <v>3417</v>
      </c>
    </row>
    <row r="144" spans="1:5" ht="11.25">
      <c r="A144" s="10" t="str">
        <f>_xlfn.COMPOUNDVALUE(142)</f>
        <v>Makatea</v>
      </c>
      <c r="B144" s="8">
        <f>_xlfn.COMPOUNDVALUE(377)</f>
        <v>40</v>
      </c>
      <c r="C144" s="8">
        <f>_xlfn.COMPOUNDVALUE(376)</f>
        <v>68</v>
      </c>
      <c r="D144" s="8">
        <f>_xlfn.COMPOUNDVALUE(531)</f>
        <v>28</v>
      </c>
      <c r="E144" s="9">
        <f>_xlfn.COMPOUNDVALUE(530)</f>
        <v>68</v>
      </c>
    </row>
    <row r="145" spans="1:5" ht="11.25">
      <c r="A145" s="10" t="str">
        <f>_xlfn.COMPOUNDVALUE(65)</f>
        <v>Mataiva</v>
      </c>
      <c r="B145" s="8">
        <f>_xlfn.COMPOUNDVALUE(217)</f>
        <v>76</v>
      </c>
      <c r="C145" s="8">
        <f>_xlfn.COMPOUNDVALUE(293)</f>
        <v>280</v>
      </c>
      <c r="D145" s="8">
        <f>_xlfn.COMPOUNDVALUE(642)</f>
        <v>75</v>
      </c>
      <c r="E145" s="9">
        <f>_xlfn.COMPOUNDVALUE(641)</f>
        <v>280</v>
      </c>
    </row>
    <row r="146" spans="1:5" ht="11.25">
      <c r="A146" s="10" t="str">
        <f>_xlfn.COMPOUNDVALUE(141)</f>
        <v>Rangiroa</v>
      </c>
      <c r="B146" s="8">
        <f>_xlfn.COMPOUNDVALUE(375)</f>
        <v>1081</v>
      </c>
      <c r="C146" s="8">
        <f>_xlfn.COMPOUNDVALUE(374)</f>
        <v>2567</v>
      </c>
      <c r="D146" s="8">
        <f>_xlfn.COMPOUNDVALUE(529)</f>
        <v>746</v>
      </c>
      <c r="E146" s="9">
        <f>_xlfn.COMPOUNDVALUE(528)</f>
        <v>2545</v>
      </c>
    </row>
    <row r="147" spans="1:5" ht="11.25">
      <c r="A147" s="10" t="str">
        <f>_xlfn.COMPOUNDVALUE(64)</f>
        <v>Tikehau</v>
      </c>
      <c r="B147" s="8">
        <f>_xlfn.COMPOUNDVALUE(216)</f>
        <v>209</v>
      </c>
      <c r="C147" s="8">
        <f>_xlfn.COMPOUNDVALUE(292)</f>
        <v>529</v>
      </c>
      <c r="D147" s="8">
        <f>_xlfn.COMPOUNDVALUE(714)</f>
        <v>154</v>
      </c>
      <c r="E147" s="9">
        <f>_xlfn.COMPOUNDVALUE(713)</f>
        <v>524</v>
      </c>
    </row>
    <row r="148" spans="1:5" ht="11.25">
      <c r="A148" s="7" t="str">
        <f>_xlfn.COMPOUNDVALUE(140)</f>
        <v>Reao</v>
      </c>
      <c r="B148" s="8">
        <f>_xlfn.COMPOUNDVALUE(373)</f>
        <v>234</v>
      </c>
      <c r="C148" s="8">
        <f>_xlfn.COMPOUNDVALUE(372)</f>
        <v>606</v>
      </c>
      <c r="D148" s="8">
        <f>_xlfn.COMPOUNDVALUE(527)</f>
        <v>154</v>
      </c>
      <c r="E148" s="9">
        <f>_xlfn.COMPOUNDVALUE(526)</f>
        <v>606</v>
      </c>
    </row>
    <row r="149" spans="1:5" ht="11.25">
      <c r="A149" s="10" t="str">
        <f>_xlfn.COMPOUNDVALUE(63)</f>
        <v>Pukarua</v>
      </c>
      <c r="B149" s="8">
        <f>_xlfn.COMPOUNDVALUE(215)</f>
        <v>87</v>
      </c>
      <c r="C149" s="8">
        <f>_xlfn.COMPOUNDVALUE(291)</f>
        <v>227</v>
      </c>
      <c r="D149" s="8">
        <f>_xlfn.COMPOUNDVALUE(640)</f>
        <v>63</v>
      </c>
      <c r="E149" s="9">
        <f>_xlfn.COMPOUNDVALUE(639)</f>
        <v>227</v>
      </c>
    </row>
    <row r="150" spans="1:5" ht="11.25">
      <c r="A150" s="10" t="str">
        <f>_xlfn.COMPOUNDVALUE(139)</f>
        <v>Reao</v>
      </c>
      <c r="B150" s="8">
        <f>_xlfn.COMPOUNDVALUE(371)</f>
        <v>147</v>
      </c>
      <c r="C150" s="8">
        <f>_xlfn.COMPOUNDVALUE(370)</f>
        <v>379</v>
      </c>
      <c r="D150" s="8">
        <f>_xlfn.COMPOUNDVALUE(525)</f>
        <v>91</v>
      </c>
      <c r="E150" s="9">
        <f>_xlfn.COMPOUNDVALUE(524)</f>
        <v>379</v>
      </c>
    </row>
    <row r="151" spans="1:5" ht="11.25">
      <c r="A151" s="7" t="str">
        <f>_xlfn.COMPOUNDVALUE(62)</f>
        <v>Takaroa</v>
      </c>
      <c r="B151" s="8">
        <f>_xlfn.COMPOUNDVALUE(214)</f>
        <v>496</v>
      </c>
      <c r="C151" s="8">
        <f>_xlfn.COMPOUNDVALUE(290)</f>
        <v>1262</v>
      </c>
      <c r="D151" s="8">
        <f>_xlfn.COMPOUNDVALUE(712)</f>
        <v>343</v>
      </c>
      <c r="E151" s="9">
        <f>_xlfn.COMPOUNDVALUE(711)</f>
        <v>1178</v>
      </c>
    </row>
    <row r="152" spans="1:5" ht="11.25">
      <c r="A152" s="10" t="str">
        <f>_xlfn.COMPOUNDVALUE(138)</f>
        <v>Takapoto</v>
      </c>
      <c r="B152" s="8">
        <f>_xlfn.COMPOUNDVALUE(369)</f>
        <v>180</v>
      </c>
      <c r="C152" s="8">
        <f>_xlfn.COMPOUNDVALUE(368)</f>
        <v>380</v>
      </c>
      <c r="D152" s="8">
        <f>_xlfn.COMPOUNDVALUE(523)</f>
        <v>119</v>
      </c>
      <c r="E152" s="9">
        <f>_xlfn.COMPOUNDVALUE(522)</f>
        <v>380</v>
      </c>
    </row>
    <row r="153" spans="1:5" ht="11.25">
      <c r="A153" s="10" t="str">
        <f>_xlfn.COMPOUNDVALUE(61)</f>
        <v>Takaroa</v>
      </c>
      <c r="B153" s="8">
        <f>_xlfn.COMPOUNDVALUE(213)</f>
        <v>316</v>
      </c>
      <c r="C153" s="8">
        <f>_xlfn.COMPOUNDVALUE(289)</f>
        <v>882</v>
      </c>
      <c r="D153" s="8">
        <f>_xlfn.COMPOUNDVALUE(638)</f>
        <v>224</v>
      </c>
      <c r="E153" s="9">
        <f>_xlfn.COMPOUNDVALUE(637)</f>
        <v>798</v>
      </c>
    </row>
    <row r="154" spans="1:5" ht="11.25">
      <c r="A154" s="7" t="str">
        <f>_xlfn.COMPOUNDVALUE(137)</f>
        <v>Tatakoto</v>
      </c>
      <c r="B154" s="8">
        <f>_xlfn.COMPOUNDVALUE(367)</f>
        <v>99</v>
      </c>
      <c r="C154" s="8">
        <f>_xlfn.COMPOUNDVALUE(366)</f>
        <v>287</v>
      </c>
      <c r="D154" s="8">
        <f>_xlfn.COMPOUNDVALUE(521)</f>
        <v>89</v>
      </c>
      <c r="E154" s="9">
        <f>_xlfn.COMPOUNDVALUE(520)</f>
        <v>287</v>
      </c>
    </row>
    <row r="155" spans="1:5" ht="11.25">
      <c r="A155" s="11" t="str">
        <f>_xlfn.COMPOUNDVALUE(60)</f>
        <v>Tureia</v>
      </c>
      <c r="B155" s="2">
        <f>_xlfn.COMPOUNDVALUE(212)</f>
        <v>95</v>
      </c>
      <c r="C155" s="2">
        <f>_xlfn.COMPOUNDVALUE(288)</f>
        <v>301</v>
      </c>
      <c r="D155" s="2">
        <f>_xlfn.COMPOUNDVALUE(710)</f>
        <v>75</v>
      </c>
      <c r="E155" s="3">
        <f>_xlfn.COMPOUNDVALUE(709)</f>
        <v>301</v>
      </c>
    </row>
    <row r="157" ht="11.25">
      <c r="E157" s="86" t="s">
        <v>49</v>
      </c>
    </row>
  </sheetData>
  <sheetProtection/>
  <mergeCells count="3">
    <mergeCell ref="A1:E1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20.28125" style="35" bestFit="1" customWidth="1"/>
    <col min="2" max="5" width="11.421875" style="35" customWidth="1"/>
    <col min="6" max="16384" width="11.421875" style="35" customWidth="1"/>
  </cols>
  <sheetData>
    <row r="1" spans="1:11" ht="47.25" customHeight="1">
      <c r="A1" s="217" t="s">
        <v>50</v>
      </c>
      <c r="B1" s="217"/>
      <c r="C1" s="217"/>
      <c r="D1" s="217"/>
      <c r="E1" s="217"/>
      <c r="F1" s="95"/>
      <c r="G1" s="95"/>
      <c r="H1" s="95"/>
      <c r="I1" s="95"/>
      <c r="J1" s="95"/>
      <c r="K1" s="95"/>
    </row>
    <row r="2" spans="1:5" ht="15.75" customHeight="1">
      <c r="A2" s="4"/>
      <c r="B2" s="221" t="s">
        <v>4</v>
      </c>
      <c r="C2" s="221"/>
      <c r="D2" s="219" t="s">
        <v>0</v>
      </c>
      <c r="E2" s="220"/>
    </row>
    <row r="3" spans="1:5" ht="22.5" customHeight="1">
      <c r="A3" s="26" t="s">
        <v>7</v>
      </c>
      <c r="B3" s="61" t="str">
        <f>_xlfn.COMPOUNDVALUE(5)</f>
        <v>Logements</v>
      </c>
      <c r="C3" s="61" t="str">
        <f>_xlfn.COMPOUNDVALUE(8)</f>
        <v>Population</v>
      </c>
      <c r="D3" s="91" t="str">
        <f>_xlfn.COMPOUNDVALUE(517)</f>
        <v>Logements</v>
      </c>
      <c r="E3" s="92" t="str">
        <f>_xlfn.COMPOUNDVALUE(516)</f>
        <v>Population</v>
      </c>
    </row>
    <row r="4" spans="1:5" ht="11.25">
      <c r="A4" s="16" t="str">
        <f>_xlfn.COMPOUNDVALUE(822)</f>
        <v>Total général</v>
      </c>
      <c r="B4" s="17">
        <f>_xlfn.COMPOUNDVALUE(941)</f>
        <v>88370</v>
      </c>
      <c r="C4" s="17">
        <f>_xlfn.COMPOUNDVALUE(901)</f>
        <v>268207</v>
      </c>
      <c r="D4" s="17">
        <f>_xlfn.COMPOUNDVALUE(1098)</f>
        <v>72708</v>
      </c>
      <c r="E4" s="18">
        <f>_xlfn.COMPOUNDVALUE(1097)</f>
        <v>265160</v>
      </c>
    </row>
    <row r="5" spans="1:5" ht="11.25">
      <c r="A5" s="19" t="str">
        <f>_xlfn.COMPOUNDVALUE(861)</f>
        <v>Iles Du Vent</v>
      </c>
      <c r="B5" s="20">
        <f>_xlfn.COMPOUNDVALUE(980)</f>
        <v>64557</v>
      </c>
      <c r="C5" s="20">
        <f>_xlfn.COMPOUNDVALUE(940)</f>
        <v>200714</v>
      </c>
      <c r="D5" s="20">
        <f>_xlfn.COMPOUNDVALUE(1174)</f>
        <v>54021</v>
      </c>
      <c r="E5" s="21">
        <f>_xlfn.COMPOUNDVALUE(1173)</f>
        <v>198361</v>
      </c>
    </row>
    <row r="6" spans="1:5" ht="11.25">
      <c r="A6" s="7" t="str">
        <f>_xlfn.COMPOUNDVALUE(900)</f>
        <v>Maiao</v>
      </c>
      <c r="B6" s="8">
        <f>_xlfn.COMPOUNDVALUE(1057)</f>
        <v>80</v>
      </c>
      <c r="C6" s="8">
        <f>_xlfn.COMPOUNDVALUE(1058)</f>
        <v>335</v>
      </c>
      <c r="D6" s="8">
        <f>_xlfn.COMPOUNDVALUE(1175)</f>
        <v>79</v>
      </c>
      <c r="E6" s="9">
        <f>_xlfn.COMPOUNDVALUE(1096)</f>
        <v>335</v>
      </c>
    </row>
    <row r="7" spans="1:5" ht="11.25">
      <c r="A7" s="7" t="str">
        <f>_xlfn.COMPOUNDVALUE(860)</f>
        <v>Moorea</v>
      </c>
      <c r="B7" s="8">
        <f>_xlfn.COMPOUNDVALUE(979)</f>
        <v>6698</v>
      </c>
      <c r="C7" s="8">
        <f>_xlfn.COMPOUNDVALUE(939)</f>
        <v>16899</v>
      </c>
      <c r="D7" s="8">
        <f>_xlfn.COMPOUNDVALUE(1172)</f>
        <v>4948</v>
      </c>
      <c r="E7" s="9">
        <f>_xlfn.COMPOUNDVALUE(1171)</f>
        <v>16825</v>
      </c>
    </row>
    <row r="8" spans="1:5" ht="11.25">
      <c r="A8" s="7" t="str">
        <f>_xlfn.COMPOUNDVALUE(899)</f>
        <v>Tahiti</v>
      </c>
      <c r="B8" s="8">
        <f>_xlfn.COMPOUNDVALUE(1055)</f>
        <v>57778</v>
      </c>
      <c r="C8" s="8">
        <f>_xlfn.COMPOUNDVALUE(1056)</f>
        <v>183480</v>
      </c>
      <c r="D8" s="8">
        <f>_xlfn.COMPOUNDVALUE(1176)</f>
        <v>48994</v>
      </c>
      <c r="E8" s="9">
        <f>_xlfn.COMPOUNDVALUE(1095)</f>
        <v>181201</v>
      </c>
    </row>
    <row r="9" spans="1:5" ht="11.25">
      <c r="A9" s="7" t="str">
        <f>_xlfn.COMPOUNDVALUE(859)</f>
        <v>Tetiaroa</v>
      </c>
      <c r="B9" s="8">
        <f>_xlfn.COMPOUNDVALUE(978)</f>
        <v>1</v>
      </c>
      <c r="C9" s="8">
        <f>_xlfn.COMPOUNDVALUE(938)</f>
      </c>
      <c r="D9" s="8"/>
      <c r="E9" s="9"/>
    </row>
    <row r="10" spans="1:5" ht="11.25">
      <c r="A10" s="23" t="str">
        <f>_xlfn.COMPOUNDVALUE(898)</f>
        <v>Iles Sous-Le-Vent</v>
      </c>
      <c r="B10" s="8">
        <f>_xlfn.COMPOUNDVALUE(1053)</f>
        <v>11939</v>
      </c>
      <c r="C10" s="8">
        <f>_xlfn.COMPOUNDVALUE(1054)</f>
        <v>34581</v>
      </c>
      <c r="D10" s="8">
        <f>_xlfn.COMPOUNDVALUE(1170)</f>
        <v>9572</v>
      </c>
      <c r="E10" s="9">
        <f>_xlfn.COMPOUNDVALUE(1169)</f>
        <v>34472</v>
      </c>
    </row>
    <row r="11" spans="1:5" ht="11.25">
      <c r="A11" s="7" t="str">
        <f>_xlfn.COMPOUNDVALUE(858)</f>
        <v>Bora Bora</v>
      </c>
      <c r="B11" s="8">
        <f>_xlfn.COMPOUNDVALUE(977)</f>
        <v>3152</v>
      </c>
      <c r="C11" s="8">
        <f>_xlfn.COMPOUNDVALUE(937)</f>
        <v>9596</v>
      </c>
      <c r="D11" s="8">
        <f>_xlfn.COMPOUNDVALUE(1177)</f>
        <v>2583</v>
      </c>
      <c r="E11" s="9">
        <f>_xlfn.COMPOUNDVALUE(1094)</f>
        <v>9596</v>
      </c>
    </row>
    <row r="12" spans="1:5" ht="11.25">
      <c r="A12" s="7" t="str">
        <f>_xlfn.COMPOUNDVALUE(897)</f>
        <v>Huahine</v>
      </c>
      <c r="B12" s="8">
        <f>_xlfn.COMPOUNDVALUE(1051)</f>
        <v>2299</v>
      </c>
      <c r="C12" s="8">
        <f>_xlfn.COMPOUNDVALUE(1052)</f>
        <v>6303</v>
      </c>
      <c r="D12" s="8">
        <f>_xlfn.COMPOUNDVALUE(1168)</f>
        <v>1783</v>
      </c>
      <c r="E12" s="9">
        <f>_xlfn.COMPOUNDVALUE(1167)</f>
        <v>6301</v>
      </c>
    </row>
    <row r="13" spans="1:5" ht="11.25">
      <c r="A13" s="7" t="str">
        <f>_xlfn.COMPOUNDVALUE(857)</f>
        <v>Manuae (Scilly)</v>
      </c>
      <c r="B13" s="8">
        <f>_xlfn.COMPOUNDVALUE(976)</f>
      </c>
      <c r="C13" s="8">
        <f>_xlfn.COMPOUNDVALUE(936)</f>
        <v>18</v>
      </c>
      <c r="D13" s="8"/>
      <c r="E13" s="9"/>
    </row>
    <row r="14" spans="1:5" ht="11.25">
      <c r="A14" s="7" t="str">
        <f>_xlfn.COMPOUNDVALUE(896)</f>
        <v>Maupihaa (Mopelia)</v>
      </c>
      <c r="B14" s="8">
        <f>_xlfn.COMPOUNDVALUE(1049)</f>
        <v>9</v>
      </c>
      <c r="C14" s="8">
        <f>_xlfn.COMPOUNDVALUE(1050)</f>
        <v>11</v>
      </c>
      <c r="D14" s="8">
        <f>_xlfn.COMPOUNDVALUE(1178)</f>
        <v>6</v>
      </c>
      <c r="E14" s="9">
        <f>_xlfn.COMPOUNDVALUE(1093)</f>
        <v>11</v>
      </c>
    </row>
    <row r="15" spans="1:5" ht="11.25">
      <c r="A15" s="7" t="str">
        <f>_xlfn.COMPOUNDVALUE(856)</f>
        <v>Maupiti</v>
      </c>
      <c r="B15" s="8">
        <f>_xlfn.COMPOUNDVALUE(975)</f>
        <v>445</v>
      </c>
      <c r="C15" s="8">
        <f>_xlfn.COMPOUNDVALUE(935)</f>
        <v>1194</v>
      </c>
      <c r="D15" s="8">
        <f>_xlfn.COMPOUNDVALUE(1166)</f>
        <v>328</v>
      </c>
      <c r="E15" s="9">
        <f>_xlfn.COMPOUNDVALUE(1165)</f>
        <v>1194</v>
      </c>
    </row>
    <row r="16" spans="1:5" ht="11.25">
      <c r="A16" s="7" t="str">
        <f>_xlfn.COMPOUNDVALUE(895)</f>
        <v>Raiatea</v>
      </c>
      <c r="B16" s="8">
        <f>_xlfn.COMPOUNDVALUE(1047)</f>
        <v>4087</v>
      </c>
      <c r="C16" s="8">
        <f>_xlfn.COMPOUNDVALUE(1048)</f>
        <v>12237</v>
      </c>
      <c r="D16" s="8">
        <f>_xlfn.COMPOUNDVALUE(1179)</f>
        <v>3381</v>
      </c>
      <c r="E16" s="9">
        <f>_xlfn.COMPOUNDVALUE(1092)</f>
        <v>12150</v>
      </c>
    </row>
    <row r="17" spans="1:5" ht="11.25">
      <c r="A17" s="7" t="str">
        <f>_xlfn.COMPOUNDVALUE(855)</f>
        <v>Tahaa</v>
      </c>
      <c r="B17" s="8">
        <f>_xlfn.COMPOUNDVALUE(974)</f>
        <v>1946</v>
      </c>
      <c r="C17" s="8">
        <f>_xlfn.COMPOUNDVALUE(934)</f>
        <v>5220</v>
      </c>
      <c r="D17" s="8">
        <f>_xlfn.COMPOUNDVALUE(1164)</f>
        <v>1490</v>
      </c>
      <c r="E17" s="9">
        <f>_xlfn.COMPOUNDVALUE(1163)</f>
        <v>5218</v>
      </c>
    </row>
    <row r="18" spans="1:5" ht="11.25">
      <c r="A18" s="7" t="str">
        <f>_xlfn.COMPOUNDVALUE(894)</f>
        <v>Tupai</v>
      </c>
      <c r="B18" s="8">
        <f>_xlfn.COMPOUNDVALUE(1045)</f>
        <v>1</v>
      </c>
      <c r="C18" s="8">
        <f>_xlfn.COMPOUNDVALUE(1046)</f>
        <v>2</v>
      </c>
      <c r="D18" s="8">
        <f>_xlfn.COMPOUNDVALUE(1180)</f>
        <v>1</v>
      </c>
      <c r="E18" s="9">
        <f>_xlfn.COMPOUNDVALUE(1091)</f>
        <v>2</v>
      </c>
    </row>
    <row r="19" spans="1:5" ht="11.25">
      <c r="A19" s="24" t="str">
        <f>_xlfn.COMPOUNDVALUE(854)</f>
        <v>Marquises</v>
      </c>
      <c r="B19" s="22">
        <f>_xlfn.COMPOUNDVALUE(973)</f>
        <v>3305</v>
      </c>
      <c r="C19" s="22">
        <f>_xlfn.COMPOUNDVALUE(933)</f>
        <v>9261</v>
      </c>
      <c r="D19" s="22">
        <f>_xlfn.COMPOUNDVALUE(1162)</f>
        <v>2597</v>
      </c>
      <c r="E19" s="25">
        <f>_xlfn.COMPOUNDVALUE(1161)</f>
        <v>9190</v>
      </c>
    </row>
    <row r="20" spans="1:5" ht="11.25">
      <c r="A20" s="7" t="str">
        <f>_xlfn.COMPOUNDVALUE(893)</f>
        <v>Fatu Hiva</v>
      </c>
      <c r="B20" s="8">
        <f>_xlfn.COMPOUNDVALUE(1043)</f>
        <v>203</v>
      </c>
      <c r="C20" s="8">
        <f>_xlfn.COMPOUNDVALUE(1044)</f>
        <v>611</v>
      </c>
      <c r="D20" s="8">
        <f>_xlfn.COMPOUNDVALUE(1181)</f>
        <v>166</v>
      </c>
      <c r="E20" s="9">
        <f>_xlfn.COMPOUNDVALUE(1090)</f>
        <v>611</v>
      </c>
    </row>
    <row r="21" spans="1:5" ht="11.25">
      <c r="A21" s="7" t="str">
        <f>_xlfn.COMPOUNDVALUE(853)</f>
        <v>Hiva Oa</v>
      </c>
      <c r="B21" s="8">
        <f>_xlfn.COMPOUNDVALUE(972)</f>
        <v>786</v>
      </c>
      <c r="C21" s="8">
        <f>_xlfn.COMPOUNDVALUE(932)</f>
        <v>2184</v>
      </c>
      <c r="D21" s="8">
        <f>_xlfn.COMPOUNDVALUE(1160)</f>
        <v>643</v>
      </c>
      <c r="E21" s="9">
        <f>_xlfn.COMPOUNDVALUE(1159)</f>
        <v>2140</v>
      </c>
    </row>
    <row r="22" spans="1:5" ht="11.25">
      <c r="A22" s="7" t="str">
        <f>_xlfn.COMPOUNDVALUE(892)</f>
        <v>Nuku Hiva</v>
      </c>
      <c r="B22" s="8">
        <f>_xlfn.COMPOUNDVALUE(1041)</f>
        <v>1134</v>
      </c>
      <c r="C22" s="8">
        <f>_xlfn.COMPOUNDVALUE(1042)</f>
        <v>2967</v>
      </c>
      <c r="D22" s="8">
        <f>_xlfn.COMPOUNDVALUE(1182)</f>
        <v>862</v>
      </c>
      <c r="E22" s="9">
        <f>_xlfn.COMPOUNDVALUE(1089)</f>
        <v>2941</v>
      </c>
    </row>
    <row r="23" spans="1:5" ht="11.25">
      <c r="A23" s="7" t="str">
        <f>_xlfn.COMPOUNDVALUE(852)</f>
        <v>Tahuata</v>
      </c>
      <c r="B23" s="8">
        <f>_xlfn.COMPOUNDVALUE(971)</f>
        <v>213</v>
      </c>
      <c r="C23" s="8">
        <f>_xlfn.COMPOUNDVALUE(931)</f>
        <v>703</v>
      </c>
      <c r="D23" s="8">
        <f>_xlfn.COMPOUNDVALUE(1158)</f>
        <v>170</v>
      </c>
      <c r="E23" s="9">
        <f>_xlfn.COMPOUNDVALUE(1157)</f>
        <v>703</v>
      </c>
    </row>
    <row r="24" spans="1:5" ht="11.25">
      <c r="A24" s="7" t="str">
        <f>_xlfn.COMPOUNDVALUE(891)</f>
        <v>Ua Huka</v>
      </c>
      <c r="B24" s="8">
        <f>_xlfn.COMPOUNDVALUE(1039)</f>
        <v>224</v>
      </c>
      <c r="C24" s="8">
        <f>_xlfn.COMPOUNDVALUE(1040)</f>
        <v>621</v>
      </c>
      <c r="D24" s="8">
        <f>_xlfn.COMPOUNDVALUE(1183)</f>
        <v>167</v>
      </c>
      <c r="E24" s="9">
        <f>_xlfn.COMPOUNDVALUE(1088)</f>
        <v>621</v>
      </c>
    </row>
    <row r="25" spans="1:5" ht="11.25">
      <c r="A25" s="7" t="str">
        <f>_xlfn.COMPOUNDVALUE(851)</f>
        <v>Ua Pou</v>
      </c>
      <c r="B25" s="8">
        <f>_xlfn.COMPOUNDVALUE(970)</f>
        <v>745</v>
      </c>
      <c r="C25" s="8">
        <f>_xlfn.COMPOUNDVALUE(930)</f>
        <v>2175</v>
      </c>
      <c r="D25" s="8">
        <f>_xlfn.COMPOUNDVALUE(1156)</f>
        <v>589</v>
      </c>
      <c r="E25" s="9">
        <f>_xlfn.COMPOUNDVALUE(1155)</f>
        <v>2174</v>
      </c>
    </row>
    <row r="26" spans="1:5" ht="11.25">
      <c r="A26" s="24" t="str">
        <f>_xlfn.COMPOUNDVALUE(890)</f>
        <v>Australes</v>
      </c>
      <c r="B26" s="22">
        <f>_xlfn.COMPOUNDVALUE(1037)</f>
        <v>2319</v>
      </c>
      <c r="C26" s="22">
        <f>_xlfn.COMPOUNDVALUE(1038)</f>
        <v>6820</v>
      </c>
      <c r="D26" s="22">
        <f>_xlfn.COMPOUNDVALUE(1184)</f>
        <v>1837</v>
      </c>
      <c r="E26" s="25">
        <f>_xlfn.COMPOUNDVALUE(1087)</f>
        <v>6739</v>
      </c>
    </row>
    <row r="27" spans="1:5" ht="11.25">
      <c r="A27" s="7" t="str">
        <f>_xlfn.COMPOUNDVALUE(850)</f>
        <v>Raivavae</v>
      </c>
      <c r="B27" s="8">
        <f>_xlfn.COMPOUNDVALUE(969)</f>
        <v>318</v>
      </c>
      <c r="C27" s="8">
        <f>_xlfn.COMPOUNDVALUE(929)</f>
        <v>940</v>
      </c>
      <c r="D27" s="8">
        <f>_xlfn.COMPOUNDVALUE(1154)</f>
        <v>237</v>
      </c>
      <c r="E27" s="9">
        <f>_xlfn.COMPOUNDVALUE(1153)</f>
        <v>940</v>
      </c>
    </row>
    <row r="28" spans="1:5" ht="11.25">
      <c r="A28" s="7" t="str">
        <f>_xlfn.COMPOUNDVALUE(889)</f>
        <v>Rapa</v>
      </c>
      <c r="B28" s="8">
        <f>_xlfn.COMPOUNDVALUE(1035)</f>
        <v>178</v>
      </c>
      <c r="C28" s="8">
        <f>_xlfn.COMPOUNDVALUE(1036)</f>
        <v>515</v>
      </c>
      <c r="D28" s="8">
        <f>_xlfn.COMPOUNDVALUE(1185)</f>
        <v>132</v>
      </c>
      <c r="E28" s="9">
        <f>_xlfn.COMPOUNDVALUE(1086)</f>
        <v>515</v>
      </c>
    </row>
    <row r="29" spans="1:5" ht="11.25">
      <c r="A29" s="7" t="str">
        <f>_xlfn.COMPOUNDVALUE(849)</f>
        <v>Rimatara</v>
      </c>
      <c r="B29" s="8">
        <f>_xlfn.COMPOUNDVALUE(968)</f>
        <v>253</v>
      </c>
      <c r="C29" s="8">
        <f>_xlfn.COMPOUNDVALUE(928)</f>
        <v>873</v>
      </c>
      <c r="D29" s="8">
        <f>_xlfn.COMPOUNDVALUE(1152)</f>
        <v>220</v>
      </c>
      <c r="E29" s="9">
        <f>_xlfn.COMPOUNDVALUE(1151)</f>
        <v>873</v>
      </c>
    </row>
    <row r="30" spans="1:5" ht="11.25">
      <c r="A30" s="7" t="str">
        <f>_xlfn.COMPOUNDVALUE(888)</f>
        <v>Rurutu</v>
      </c>
      <c r="B30" s="8">
        <f>_xlfn.COMPOUNDVALUE(1033)</f>
        <v>748</v>
      </c>
      <c r="C30" s="8">
        <f>_xlfn.COMPOUNDVALUE(1034)</f>
        <v>2322</v>
      </c>
      <c r="D30" s="8">
        <f>_xlfn.COMPOUNDVALUE(1186)</f>
        <v>600</v>
      </c>
      <c r="E30" s="9">
        <f>_xlfn.COMPOUNDVALUE(1085)</f>
        <v>2315</v>
      </c>
    </row>
    <row r="31" spans="1:5" ht="11.25">
      <c r="A31" s="7" t="str">
        <f>_xlfn.COMPOUNDVALUE(848)</f>
        <v>Tubuai</v>
      </c>
      <c r="B31" s="8">
        <f>_xlfn.COMPOUNDVALUE(967)</f>
        <v>822</v>
      </c>
      <c r="C31" s="8">
        <f>_xlfn.COMPOUNDVALUE(927)</f>
        <v>2170</v>
      </c>
      <c r="D31" s="8">
        <f>_xlfn.COMPOUNDVALUE(1150)</f>
        <v>648</v>
      </c>
      <c r="E31" s="9">
        <f>_xlfn.COMPOUNDVALUE(1149)</f>
        <v>2096</v>
      </c>
    </row>
    <row r="32" spans="1:5" ht="11.25">
      <c r="A32" s="24" t="str">
        <f>_xlfn.COMPOUNDVALUE(887)</f>
        <v>Tuamotu-Gambier</v>
      </c>
      <c r="B32" s="22">
        <f>_xlfn.COMPOUNDVALUE(1031)</f>
        <v>6250</v>
      </c>
      <c r="C32" s="22">
        <f>_xlfn.COMPOUNDVALUE(1032)</f>
        <v>16831</v>
      </c>
      <c r="D32" s="22">
        <f>_xlfn.COMPOUNDVALUE(1187)</f>
        <v>4681</v>
      </c>
      <c r="E32" s="25">
        <f>_xlfn.COMPOUNDVALUE(1084)</f>
        <v>16398</v>
      </c>
    </row>
    <row r="33" spans="1:5" ht="11.25">
      <c r="A33" s="7" t="str">
        <f>_xlfn.COMPOUNDVALUE(847)</f>
        <v>Ahe</v>
      </c>
      <c r="B33" s="8">
        <f>_xlfn.COMPOUNDVALUE(966)</f>
        <v>176</v>
      </c>
      <c r="C33" s="8">
        <f>_xlfn.COMPOUNDVALUE(926)</f>
        <v>552</v>
      </c>
      <c r="D33" s="8">
        <f>_xlfn.COMPOUNDVALUE(1148)</f>
        <v>140</v>
      </c>
      <c r="E33" s="9">
        <f>_xlfn.COMPOUNDVALUE(1147)</f>
        <v>474</v>
      </c>
    </row>
    <row r="34" spans="1:5" ht="11.25">
      <c r="A34" s="7" t="str">
        <f>_xlfn.COMPOUNDVALUE(886)</f>
        <v>Akamaru</v>
      </c>
      <c r="B34" s="8">
        <f>_xlfn.COMPOUNDVALUE(1029)</f>
        <v>8</v>
      </c>
      <c r="C34" s="8">
        <f>_xlfn.COMPOUNDVALUE(1030)</f>
        <v>22</v>
      </c>
      <c r="D34" s="8">
        <f>_xlfn.COMPOUNDVALUE(1188)</f>
        <v>7</v>
      </c>
      <c r="E34" s="9">
        <f>_xlfn.COMPOUNDVALUE(1083)</f>
        <v>22</v>
      </c>
    </row>
    <row r="35" spans="1:5" ht="11.25">
      <c r="A35" s="7" t="str">
        <f>_xlfn.COMPOUNDVALUE(846)</f>
        <v>Amanu</v>
      </c>
      <c r="B35" s="8">
        <f>_xlfn.COMPOUNDVALUE(965)</f>
        <v>60</v>
      </c>
      <c r="C35" s="8">
        <f>_xlfn.COMPOUNDVALUE(925)</f>
        <v>192</v>
      </c>
      <c r="D35" s="8">
        <f>_xlfn.COMPOUNDVALUE(1146)</f>
        <v>47</v>
      </c>
      <c r="E35" s="9">
        <f>_xlfn.COMPOUNDVALUE(1145)</f>
        <v>192</v>
      </c>
    </row>
    <row r="36" spans="1:5" ht="11.25">
      <c r="A36" s="7" t="str">
        <f>_xlfn.COMPOUNDVALUE(885)</f>
        <v>Anaa</v>
      </c>
      <c r="B36" s="8">
        <f>_xlfn.COMPOUNDVALUE(1027)</f>
        <v>198</v>
      </c>
      <c r="C36" s="8">
        <f>_xlfn.COMPOUNDVALUE(1028)</f>
        <v>497</v>
      </c>
      <c r="D36" s="8">
        <f>_xlfn.COMPOUNDVALUE(1189)</f>
        <v>132</v>
      </c>
      <c r="E36" s="9">
        <f>_xlfn.COMPOUNDVALUE(1082)</f>
        <v>497</v>
      </c>
    </row>
    <row r="37" spans="1:5" ht="11.25">
      <c r="A37" s="7" t="str">
        <f>_xlfn.COMPOUNDVALUE(845)</f>
        <v>Apataki</v>
      </c>
      <c r="B37" s="8">
        <f>_xlfn.COMPOUNDVALUE(964)</f>
        <v>137</v>
      </c>
      <c r="C37" s="8">
        <f>_xlfn.COMPOUNDVALUE(924)</f>
        <v>350</v>
      </c>
      <c r="D37" s="8">
        <f>_xlfn.COMPOUNDVALUE(1144)</f>
        <v>105</v>
      </c>
      <c r="E37" s="9">
        <f>_xlfn.COMPOUNDVALUE(1143)</f>
        <v>350</v>
      </c>
    </row>
    <row r="38" spans="1:5" ht="11.25">
      <c r="A38" s="7" t="str">
        <f>_xlfn.COMPOUNDVALUE(884)</f>
        <v>Aratika</v>
      </c>
      <c r="B38" s="8">
        <f>_xlfn.COMPOUNDVALUE(1025)</f>
        <v>90</v>
      </c>
      <c r="C38" s="8">
        <f>_xlfn.COMPOUNDVALUE(1026)</f>
        <v>160</v>
      </c>
      <c r="D38" s="8">
        <f>_xlfn.COMPOUNDVALUE(1190)</f>
        <v>57</v>
      </c>
      <c r="E38" s="9">
        <f>_xlfn.COMPOUNDVALUE(1081)</f>
        <v>152</v>
      </c>
    </row>
    <row r="39" spans="1:5" ht="11.25">
      <c r="A39" s="7" t="str">
        <f>_xlfn.COMPOUNDVALUE(844)</f>
        <v>Arutua</v>
      </c>
      <c r="B39" s="8">
        <f>_xlfn.COMPOUNDVALUE(963)</f>
        <v>263</v>
      </c>
      <c r="C39" s="8">
        <f>_xlfn.COMPOUNDVALUE(923)</f>
        <v>680</v>
      </c>
      <c r="D39" s="8">
        <f>_xlfn.COMPOUNDVALUE(1142)</f>
        <v>192</v>
      </c>
      <c r="E39" s="9">
        <f>_xlfn.COMPOUNDVALUE(1141)</f>
        <v>664</v>
      </c>
    </row>
    <row r="40" spans="1:5" ht="11.25">
      <c r="A40" s="7" t="str">
        <f>_xlfn.COMPOUNDVALUE(883)</f>
        <v>Aukena</v>
      </c>
      <c r="B40" s="8">
        <f>_xlfn.COMPOUNDVALUE(1023)</f>
        <v>23</v>
      </c>
      <c r="C40" s="8">
        <f>_xlfn.COMPOUNDVALUE(1024)</f>
        <v>40</v>
      </c>
      <c r="D40" s="8">
        <f>_xlfn.COMPOUNDVALUE(1191)</f>
        <v>23</v>
      </c>
      <c r="E40" s="9">
        <f>_xlfn.COMPOUNDVALUE(1080)</f>
        <v>40</v>
      </c>
    </row>
    <row r="41" spans="1:5" ht="11.25">
      <c r="A41" s="7" t="str">
        <f>_xlfn.COMPOUNDVALUE(843)</f>
        <v>Faaite</v>
      </c>
      <c r="B41" s="8">
        <f>_xlfn.COMPOUNDVALUE(962)</f>
        <v>95</v>
      </c>
      <c r="C41" s="8">
        <f>_xlfn.COMPOUNDVALUE(922)</f>
        <v>401</v>
      </c>
      <c r="D41" s="8">
        <f>_xlfn.COMPOUNDVALUE(1140)</f>
        <v>81</v>
      </c>
      <c r="E41" s="9">
        <f>_xlfn.COMPOUNDVALUE(1139)</f>
        <v>401</v>
      </c>
    </row>
    <row r="42" spans="1:5" ht="11.25">
      <c r="A42" s="7" t="str">
        <f>_xlfn.COMPOUNDVALUE(882)</f>
        <v>Fakahina</v>
      </c>
      <c r="B42" s="8">
        <f>_xlfn.COMPOUNDVALUE(1021)</f>
        <v>73</v>
      </c>
      <c r="C42" s="8">
        <f>_xlfn.COMPOUNDVALUE(1022)</f>
        <v>155</v>
      </c>
      <c r="D42" s="8">
        <f>_xlfn.COMPOUNDVALUE(1192)</f>
        <v>60</v>
      </c>
      <c r="E42" s="9">
        <f>_xlfn.COMPOUNDVALUE(1079)</f>
        <v>155</v>
      </c>
    </row>
    <row r="43" spans="1:5" ht="11.25">
      <c r="A43" s="7" t="str">
        <f>_xlfn.COMPOUNDVALUE(842)</f>
        <v>Fakarava</v>
      </c>
      <c r="B43" s="8">
        <f>_xlfn.COMPOUNDVALUE(961)</f>
        <v>333</v>
      </c>
      <c r="C43" s="8">
        <f>_xlfn.COMPOUNDVALUE(921)</f>
        <v>806</v>
      </c>
      <c r="D43" s="8">
        <f>_xlfn.COMPOUNDVALUE(1138)</f>
        <v>255</v>
      </c>
      <c r="E43" s="9">
        <f>_xlfn.COMPOUNDVALUE(1137)</f>
        <v>801</v>
      </c>
    </row>
    <row r="44" spans="1:5" ht="11.25">
      <c r="A44" s="7" t="str">
        <f>_xlfn.COMPOUNDVALUE(881)</f>
        <v>Fangatau</v>
      </c>
      <c r="B44" s="8">
        <f>_xlfn.COMPOUNDVALUE(1019)</f>
        <v>69</v>
      </c>
      <c r="C44" s="8">
        <f>_xlfn.COMPOUNDVALUE(1020)</f>
        <v>145</v>
      </c>
      <c r="D44" s="8">
        <f>_xlfn.COMPOUNDVALUE(1193)</f>
        <v>43</v>
      </c>
      <c r="E44" s="9">
        <f>_xlfn.COMPOUNDVALUE(1078)</f>
        <v>145</v>
      </c>
    </row>
    <row r="45" spans="1:5" ht="11.25">
      <c r="A45" s="7" t="str">
        <f>_xlfn.COMPOUNDVALUE(841)</f>
        <v>Hao</v>
      </c>
      <c r="B45" s="8">
        <f>_xlfn.COMPOUNDVALUE(960)</f>
        <v>357</v>
      </c>
      <c r="C45" s="8">
        <f>_xlfn.COMPOUNDVALUE(920)</f>
        <v>1066</v>
      </c>
      <c r="D45" s="8">
        <f>_xlfn.COMPOUNDVALUE(1136)</f>
        <v>279</v>
      </c>
      <c r="E45" s="9">
        <f>_xlfn.COMPOUNDVALUE(1135)</f>
        <v>1020</v>
      </c>
    </row>
    <row r="46" spans="1:5" ht="11.25">
      <c r="A46" s="7" t="str">
        <f>_xlfn.COMPOUNDVALUE(880)</f>
        <v>Hereheretue</v>
      </c>
      <c r="B46" s="8">
        <f>_xlfn.COMPOUNDVALUE(1017)</f>
        <v>22</v>
      </c>
      <c r="C46" s="8">
        <f>_xlfn.COMPOUNDVALUE(1018)</f>
        <v>56</v>
      </c>
      <c r="D46" s="8">
        <f>_xlfn.COMPOUNDVALUE(1194)</f>
        <v>16</v>
      </c>
      <c r="E46" s="9">
        <f>_xlfn.COMPOUNDVALUE(1077)</f>
        <v>56</v>
      </c>
    </row>
    <row r="47" spans="1:5" ht="11.25">
      <c r="A47" s="7" t="str">
        <f>_xlfn.COMPOUNDVALUE(840)</f>
        <v>Hikueru</v>
      </c>
      <c r="B47" s="8">
        <f>_xlfn.COMPOUNDVALUE(959)</f>
        <v>60</v>
      </c>
      <c r="C47" s="8">
        <f>_xlfn.COMPOUNDVALUE(919)</f>
        <v>150</v>
      </c>
      <c r="D47" s="8">
        <f>_xlfn.COMPOUNDVALUE(1134)</f>
        <v>41</v>
      </c>
      <c r="E47" s="9">
        <f>_xlfn.COMPOUNDVALUE(1133)</f>
        <v>150</v>
      </c>
    </row>
    <row r="48" spans="1:5" ht="11.25">
      <c r="A48" s="7" t="str">
        <f>_xlfn.COMPOUNDVALUE(879)</f>
        <v>Katiu</v>
      </c>
      <c r="B48" s="8">
        <f>_xlfn.COMPOUNDVALUE(1015)</f>
        <v>87</v>
      </c>
      <c r="C48" s="8">
        <f>_xlfn.COMPOUNDVALUE(1016)</f>
        <v>250</v>
      </c>
      <c r="D48" s="8">
        <f>_xlfn.COMPOUNDVALUE(1195)</f>
        <v>59</v>
      </c>
      <c r="E48" s="9">
        <f>_xlfn.COMPOUNDVALUE(1076)</f>
        <v>250</v>
      </c>
    </row>
    <row r="49" spans="1:5" ht="11.25">
      <c r="A49" s="7" t="str">
        <f>_xlfn.COMPOUNDVALUE(839)</f>
        <v>Kauehi</v>
      </c>
      <c r="B49" s="8">
        <f>_xlfn.COMPOUNDVALUE(958)</f>
        <v>78</v>
      </c>
      <c r="C49" s="8">
        <f>_xlfn.COMPOUNDVALUE(918)</f>
        <v>257</v>
      </c>
      <c r="D49" s="8">
        <f>_xlfn.COMPOUNDVALUE(1132)</f>
        <v>61</v>
      </c>
      <c r="E49" s="9">
        <f>_xlfn.COMPOUNDVALUE(1131)</f>
        <v>257</v>
      </c>
    </row>
    <row r="50" spans="1:5" ht="11.25">
      <c r="A50" s="7" t="str">
        <f>_xlfn.COMPOUNDVALUE(878)</f>
        <v>Kaukura</v>
      </c>
      <c r="B50" s="8">
        <f>_xlfn.COMPOUNDVALUE(1013)</f>
        <v>203</v>
      </c>
      <c r="C50" s="8">
        <f>_xlfn.COMPOUNDVALUE(1014)</f>
        <v>475</v>
      </c>
      <c r="D50" s="8">
        <f>_xlfn.COMPOUNDVALUE(1196)</f>
        <v>130</v>
      </c>
      <c r="E50" s="9">
        <f>_xlfn.COMPOUNDVALUE(1075)</f>
        <v>475</v>
      </c>
    </row>
    <row r="51" spans="1:5" ht="11.25">
      <c r="A51" s="7" t="str">
        <f>_xlfn.COMPOUNDVALUE(838)</f>
        <v>Makatea</v>
      </c>
      <c r="B51" s="8">
        <f>_xlfn.COMPOUNDVALUE(957)</f>
        <v>40</v>
      </c>
      <c r="C51" s="8">
        <f>_xlfn.COMPOUNDVALUE(917)</f>
        <v>68</v>
      </c>
      <c r="D51" s="8">
        <f>_xlfn.COMPOUNDVALUE(1130)</f>
        <v>28</v>
      </c>
      <c r="E51" s="9">
        <f>_xlfn.COMPOUNDVALUE(1129)</f>
        <v>68</v>
      </c>
    </row>
    <row r="52" spans="1:5" ht="11.25">
      <c r="A52" s="7" t="str">
        <f>_xlfn.COMPOUNDVALUE(877)</f>
        <v>Makemo</v>
      </c>
      <c r="B52" s="8">
        <f>_xlfn.COMPOUNDVALUE(1011)</f>
        <v>304</v>
      </c>
      <c r="C52" s="8">
        <f>_xlfn.COMPOUNDVALUE(1012)</f>
        <v>832</v>
      </c>
      <c r="D52" s="8">
        <f>_xlfn.COMPOUNDVALUE(1197)</f>
        <v>216</v>
      </c>
      <c r="E52" s="9">
        <f>_xlfn.COMPOUNDVALUE(1074)</f>
        <v>830</v>
      </c>
    </row>
    <row r="53" spans="1:5" ht="11.25">
      <c r="A53" s="7" t="str">
        <f>_xlfn.COMPOUNDVALUE(837)</f>
        <v>Mangareva</v>
      </c>
      <c r="B53" s="8">
        <f>_xlfn.COMPOUNDVALUE(956)</f>
        <v>324</v>
      </c>
      <c r="C53" s="8">
        <f>_xlfn.COMPOUNDVALUE(916)</f>
        <v>1239</v>
      </c>
      <c r="D53" s="8">
        <f>_xlfn.COMPOUNDVALUE(1128)</f>
        <v>305</v>
      </c>
      <c r="E53" s="9">
        <f>_xlfn.COMPOUNDVALUE(1127)</f>
        <v>1194</v>
      </c>
    </row>
    <row r="54" spans="1:5" ht="11.25">
      <c r="A54" s="7" t="str">
        <f>_xlfn.COMPOUNDVALUE(876)</f>
        <v>Manihi</v>
      </c>
      <c r="B54" s="8">
        <f>_xlfn.COMPOUNDVALUE(1009)</f>
        <v>265</v>
      </c>
      <c r="C54" s="8">
        <f>_xlfn.COMPOUNDVALUE(1010)</f>
        <v>685</v>
      </c>
      <c r="D54" s="8">
        <f>_xlfn.COMPOUNDVALUE(1198)</f>
        <v>187</v>
      </c>
      <c r="E54" s="9">
        <f>_xlfn.COMPOUNDVALUE(1073)</f>
        <v>632</v>
      </c>
    </row>
    <row r="55" spans="1:5" ht="11.25">
      <c r="A55" s="7" t="str">
        <f>_xlfn.COMPOUNDVALUE(836)</f>
        <v>Marokau</v>
      </c>
      <c r="B55" s="8">
        <f>_xlfn.COMPOUNDVALUE(955)</f>
        <v>30</v>
      </c>
      <c r="C55" s="8">
        <f>_xlfn.COMPOUNDVALUE(915)</f>
        <v>91</v>
      </c>
      <c r="D55" s="8">
        <f>_xlfn.COMPOUNDVALUE(1126)</f>
        <v>24</v>
      </c>
      <c r="E55" s="9">
        <f>_xlfn.COMPOUNDVALUE(1125)</f>
        <v>91</v>
      </c>
    </row>
    <row r="56" spans="1:5" ht="11.25">
      <c r="A56" s="7" t="str">
        <f>_xlfn.COMPOUNDVALUE(875)</f>
        <v>Marutea Sud</v>
      </c>
      <c r="B56" s="8">
        <f>_xlfn.COMPOUNDVALUE(1007)</f>
        <v>95</v>
      </c>
      <c r="C56" s="8">
        <f>_xlfn.COMPOUNDVALUE(1008)</f>
        <v>111</v>
      </c>
      <c r="D56" s="8">
        <f>_xlfn.COMPOUNDVALUE(1199)</f>
        <v>69</v>
      </c>
      <c r="E56" s="9">
        <f>_xlfn.COMPOUNDVALUE(1072)</f>
        <v>111</v>
      </c>
    </row>
    <row r="57" spans="1:5" ht="11.25">
      <c r="A57" s="7" t="str">
        <f>_xlfn.COMPOUNDVALUE(835)</f>
        <v>Mataiva</v>
      </c>
      <c r="B57" s="8">
        <f>_xlfn.COMPOUNDVALUE(954)</f>
        <v>76</v>
      </c>
      <c r="C57" s="8">
        <f>_xlfn.COMPOUNDVALUE(914)</f>
        <v>280</v>
      </c>
      <c r="D57" s="8">
        <f>_xlfn.COMPOUNDVALUE(1124)</f>
        <v>75</v>
      </c>
      <c r="E57" s="9">
        <f>_xlfn.COMPOUNDVALUE(1123)</f>
        <v>280</v>
      </c>
    </row>
    <row r="58" spans="1:5" ht="11.25">
      <c r="A58" s="7" t="str">
        <f>_xlfn.COMPOUNDVALUE(874)</f>
        <v>Napuka</v>
      </c>
      <c r="B58" s="8">
        <f>_xlfn.COMPOUNDVALUE(1005)</f>
        <v>100</v>
      </c>
      <c r="C58" s="8">
        <f>_xlfn.COMPOUNDVALUE(1006)</f>
        <v>299</v>
      </c>
      <c r="D58" s="8">
        <f>_xlfn.COMPOUNDVALUE(1200)</f>
        <v>82</v>
      </c>
      <c r="E58" s="9">
        <f>_xlfn.COMPOUNDVALUE(1071)</f>
        <v>299</v>
      </c>
    </row>
    <row r="59" spans="1:5" ht="11.25">
      <c r="A59" s="7" t="str">
        <f>_xlfn.COMPOUNDVALUE(834)</f>
        <v>Niau</v>
      </c>
      <c r="B59" s="8">
        <f>_xlfn.COMPOUNDVALUE(953)</f>
        <v>81</v>
      </c>
      <c r="C59" s="8">
        <f>_xlfn.COMPOUNDVALUE(913)</f>
        <v>226</v>
      </c>
      <c r="D59" s="8">
        <f>_xlfn.COMPOUNDVALUE(1122)</f>
        <v>75</v>
      </c>
      <c r="E59" s="9">
        <f>_xlfn.COMPOUNDVALUE(1121)</f>
        <v>226</v>
      </c>
    </row>
    <row r="60" spans="1:5" ht="11.25">
      <c r="A60" s="7" t="str">
        <f>_xlfn.COMPOUNDVALUE(873)</f>
        <v>Nihiru</v>
      </c>
      <c r="B60" s="8">
        <f>_xlfn.COMPOUNDVALUE(1003)</f>
        <v>3</v>
      </c>
      <c r="C60" s="8">
        <f>_xlfn.COMPOUNDVALUE(1004)</f>
        <v>11</v>
      </c>
      <c r="D60" s="8">
        <f>_xlfn.COMPOUNDVALUE(1201)</f>
        <v>3</v>
      </c>
      <c r="E60" s="9">
        <f>_xlfn.COMPOUNDVALUE(1070)</f>
        <v>11</v>
      </c>
    </row>
    <row r="61" spans="1:5" ht="11.25">
      <c r="A61" s="7" t="str">
        <f>_xlfn.COMPOUNDVALUE(833)</f>
        <v>Nukutavake</v>
      </c>
      <c r="B61" s="8">
        <f>_xlfn.COMPOUNDVALUE(952)</f>
        <v>55</v>
      </c>
      <c r="C61" s="8">
        <f>_xlfn.COMPOUNDVALUE(912)</f>
        <v>188</v>
      </c>
      <c r="D61" s="8">
        <f>_xlfn.COMPOUNDVALUE(1120)</f>
        <v>48</v>
      </c>
      <c r="E61" s="9">
        <f>_xlfn.COMPOUNDVALUE(1119)</f>
        <v>188</v>
      </c>
    </row>
    <row r="62" spans="1:5" ht="11.25">
      <c r="A62" s="7" t="str">
        <f>_xlfn.COMPOUNDVALUE(872)</f>
        <v>Pukapuka</v>
      </c>
      <c r="B62" s="8">
        <f>_xlfn.COMPOUNDVALUE(1001)</f>
        <v>45</v>
      </c>
      <c r="C62" s="8">
        <f>_xlfn.COMPOUNDVALUE(1002)</f>
        <v>166</v>
      </c>
      <c r="D62" s="8">
        <f>_xlfn.COMPOUNDVALUE(1202)</f>
        <v>43</v>
      </c>
      <c r="E62" s="9">
        <f>_xlfn.COMPOUNDVALUE(1069)</f>
        <v>166</v>
      </c>
    </row>
    <row r="63" spans="1:5" ht="11.25">
      <c r="A63" s="7" t="str">
        <f>_xlfn.COMPOUNDVALUE(832)</f>
        <v>Pukarua</v>
      </c>
      <c r="B63" s="8">
        <f>_xlfn.COMPOUNDVALUE(951)</f>
        <v>87</v>
      </c>
      <c r="C63" s="8">
        <f>_xlfn.COMPOUNDVALUE(911)</f>
        <v>227</v>
      </c>
      <c r="D63" s="8">
        <f>_xlfn.COMPOUNDVALUE(1118)</f>
        <v>63</v>
      </c>
      <c r="E63" s="9">
        <f>_xlfn.COMPOUNDVALUE(1117)</f>
        <v>227</v>
      </c>
    </row>
    <row r="64" spans="1:5" ht="11.25">
      <c r="A64" s="7" t="str">
        <f>_xlfn.COMPOUNDVALUE(871)</f>
        <v>Rangiroa</v>
      </c>
      <c r="B64" s="8">
        <f>_xlfn.COMPOUNDVALUE(999)</f>
        <v>1081</v>
      </c>
      <c r="C64" s="8">
        <f>_xlfn.COMPOUNDVALUE(1000)</f>
        <v>2567</v>
      </c>
      <c r="D64" s="8">
        <f>_xlfn.COMPOUNDVALUE(1203)</f>
        <v>746</v>
      </c>
      <c r="E64" s="9">
        <f>_xlfn.COMPOUNDVALUE(1068)</f>
        <v>2545</v>
      </c>
    </row>
    <row r="65" spans="1:5" ht="11.25">
      <c r="A65" s="7" t="str">
        <f>_xlfn.COMPOUNDVALUE(831)</f>
        <v>Raraka</v>
      </c>
      <c r="B65" s="8">
        <f>_xlfn.COMPOUNDVALUE(950)</f>
        <v>42</v>
      </c>
      <c r="C65" s="8">
        <f>_xlfn.COMPOUNDVALUE(910)</f>
        <v>110</v>
      </c>
      <c r="D65" s="8">
        <f>_xlfn.COMPOUNDVALUE(1116)</f>
        <v>28</v>
      </c>
      <c r="E65" s="9">
        <f>_xlfn.COMPOUNDVALUE(1115)</f>
        <v>110</v>
      </c>
    </row>
    <row r="66" spans="1:5" ht="11.25">
      <c r="A66" s="7" t="str">
        <f>_xlfn.COMPOUNDVALUE(870)</f>
        <v>Raroia</v>
      </c>
      <c r="B66" s="8">
        <f>_xlfn.COMPOUNDVALUE(997)</f>
        <v>66</v>
      </c>
      <c r="C66" s="8">
        <f>_xlfn.COMPOUNDVALUE(998)</f>
        <v>233</v>
      </c>
      <c r="D66" s="8">
        <f>_xlfn.COMPOUNDVALUE(1204)</f>
        <v>58</v>
      </c>
      <c r="E66" s="9">
        <f>_xlfn.COMPOUNDVALUE(1067)</f>
        <v>194</v>
      </c>
    </row>
    <row r="67" spans="1:5" ht="11.25">
      <c r="A67" s="7" t="str">
        <f>_xlfn.COMPOUNDVALUE(830)</f>
        <v>Reao</v>
      </c>
      <c r="B67" s="8">
        <f>_xlfn.COMPOUNDVALUE(949)</f>
        <v>147</v>
      </c>
      <c r="C67" s="8">
        <f>_xlfn.COMPOUNDVALUE(909)</f>
        <v>379</v>
      </c>
      <c r="D67" s="8">
        <f>_xlfn.COMPOUNDVALUE(1114)</f>
        <v>91</v>
      </c>
      <c r="E67" s="9">
        <f>_xlfn.COMPOUNDVALUE(1113)</f>
        <v>379</v>
      </c>
    </row>
    <row r="68" spans="1:5" ht="11.25">
      <c r="A68" s="7" t="str">
        <f>_xlfn.COMPOUNDVALUE(869)</f>
        <v>Taenga</v>
      </c>
      <c r="B68" s="8">
        <f>_xlfn.COMPOUNDVALUE(995)</f>
        <v>40</v>
      </c>
      <c r="C68" s="8">
        <f>_xlfn.COMPOUNDVALUE(996)</f>
        <v>113</v>
      </c>
      <c r="D68" s="8">
        <f>_xlfn.COMPOUNDVALUE(1205)</f>
        <v>32</v>
      </c>
      <c r="E68" s="9">
        <f>_xlfn.COMPOUNDVALUE(1066)</f>
        <v>113</v>
      </c>
    </row>
    <row r="69" spans="1:5" ht="11.25">
      <c r="A69" s="7" t="str">
        <f>_xlfn.COMPOUNDVALUE(829)</f>
        <v>Taiaro</v>
      </c>
      <c r="B69" s="8">
        <f>_xlfn.COMPOUNDVALUE(948)</f>
        <v>2</v>
      </c>
      <c r="C69" s="8">
        <f>_xlfn.COMPOUNDVALUE(908)</f>
        <v>4</v>
      </c>
      <c r="D69" s="8">
        <f>_xlfn.COMPOUNDVALUE(1112)</f>
        <v>2</v>
      </c>
      <c r="E69" s="9">
        <f>_xlfn.COMPOUNDVALUE(1111)</f>
        <v>4</v>
      </c>
    </row>
    <row r="70" spans="1:5" ht="11.25">
      <c r="A70" s="7" t="str">
        <f>_xlfn.COMPOUNDVALUE(868)</f>
        <v>Takapoto</v>
      </c>
      <c r="B70" s="8">
        <f>_xlfn.COMPOUNDVALUE(993)</f>
        <v>180</v>
      </c>
      <c r="C70" s="8">
        <f>_xlfn.COMPOUNDVALUE(994)</f>
        <v>380</v>
      </c>
      <c r="D70" s="8">
        <f>_xlfn.COMPOUNDVALUE(1206)</f>
        <v>119</v>
      </c>
      <c r="E70" s="9">
        <f>_xlfn.COMPOUNDVALUE(1065)</f>
        <v>380</v>
      </c>
    </row>
    <row r="71" spans="1:5" ht="11.25">
      <c r="A71" s="7" t="str">
        <f>_xlfn.COMPOUNDVALUE(828)</f>
        <v>Takaroa</v>
      </c>
      <c r="B71" s="8">
        <f>_xlfn.COMPOUNDVALUE(947)</f>
        <v>316</v>
      </c>
      <c r="C71" s="8">
        <f>_xlfn.COMPOUNDVALUE(907)</f>
        <v>882</v>
      </c>
      <c r="D71" s="8">
        <f>_xlfn.COMPOUNDVALUE(1110)</f>
        <v>224</v>
      </c>
      <c r="E71" s="9">
        <f>_xlfn.COMPOUNDVALUE(1109)</f>
        <v>798</v>
      </c>
    </row>
    <row r="72" spans="1:5" ht="11.25">
      <c r="A72" s="7" t="str">
        <f>_xlfn.COMPOUNDVALUE(867)</f>
        <v>Takume</v>
      </c>
      <c r="B72" s="8">
        <f>_xlfn.COMPOUNDVALUE(991)</f>
        <v>43</v>
      </c>
      <c r="C72" s="8">
        <f>_xlfn.COMPOUNDVALUE(992)</f>
        <v>116</v>
      </c>
      <c r="D72" s="8">
        <f>_xlfn.COMPOUNDVALUE(1207)</f>
        <v>40</v>
      </c>
      <c r="E72" s="9">
        <f>_xlfn.COMPOUNDVALUE(1064)</f>
        <v>97</v>
      </c>
    </row>
    <row r="73" spans="1:5" ht="11.25">
      <c r="A73" s="7" t="str">
        <f>_xlfn.COMPOUNDVALUE(827)</f>
        <v>Taravai</v>
      </c>
      <c r="B73" s="8">
        <f>_xlfn.COMPOUNDVALUE(946)</f>
        <v>3</v>
      </c>
      <c r="C73" s="8">
        <f>_xlfn.COMPOUNDVALUE(906)</f>
        <v>9</v>
      </c>
      <c r="D73" s="8">
        <f>_xlfn.COMPOUNDVALUE(1108)</f>
        <v>3</v>
      </c>
      <c r="E73" s="9">
        <f>_xlfn.COMPOUNDVALUE(1107)</f>
        <v>9</v>
      </c>
    </row>
    <row r="74" spans="1:5" ht="11.25">
      <c r="A74" s="7" t="str">
        <f>_xlfn.COMPOUNDVALUE(866)</f>
        <v>Tatakoto</v>
      </c>
      <c r="B74" s="8">
        <f>_xlfn.COMPOUNDVALUE(989)</f>
        <v>99</v>
      </c>
      <c r="C74" s="8">
        <f>_xlfn.COMPOUNDVALUE(990)</f>
        <v>287</v>
      </c>
      <c r="D74" s="8">
        <f>_xlfn.COMPOUNDVALUE(1208)</f>
        <v>89</v>
      </c>
      <c r="E74" s="9">
        <f>_xlfn.COMPOUNDVALUE(1063)</f>
        <v>287</v>
      </c>
    </row>
    <row r="75" spans="1:5" ht="11.25">
      <c r="A75" s="7" t="str">
        <f>_xlfn.COMPOUNDVALUE(826)</f>
        <v>Tauere</v>
      </c>
      <c r="B75" s="8">
        <f>_xlfn.COMPOUNDVALUE(945)</f>
        <v>2</v>
      </c>
      <c r="C75" s="8">
        <f>_xlfn.COMPOUNDVALUE(905)</f>
        <v>3</v>
      </c>
      <c r="D75" s="8">
        <f>_xlfn.COMPOUNDVALUE(1106)</f>
        <v>2</v>
      </c>
      <c r="E75" s="9">
        <f>_xlfn.COMPOUNDVALUE(1105)</f>
        <v>3</v>
      </c>
    </row>
    <row r="76" spans="1:5" ht="11.25">
      <c r="A76" s="7" t="str">
        <f>_xlfn.COMPOUNDVALUE(865)</f>
        <v>Tematangi</v>
      </c>
      <c r="B76" s="8">
        <f>_xlfn.COMPOUNDVALUE(987)</f>
        <v>15</v>
      </c>
      <c r="C76" s="8">
        <f>_xlfn.COMPOUNDVALUE(988)</f>
        <v>58</v>
      </c>
      <c r="D76" s="8">
        <f>_xlfn.COMPOUNDVALUE(1209)</f>
        <v>15</v>
      </c>
      <c r="E76" s="9">
        <f>_xlfn.COMPOUNDVALUE(1062)</f>
        <v>58</v>
      </c>
    </row>
    <row r="77" spans="1:5" ht="11.25">
      <c r="A77" s="7" t="str">
        <f>_xlfn.COMPOUNDVALUE(825)</f>
        <v>Tepoto Nord</v>
      </c>
      <c r="B77" s="8">
        <f>_xlfn.COMPOUNDVALUE(944)</f>
        <v>32</v>
      </c>
      <c r="C77" s="8">
        <f>_xlfn.COMPOUNDVALUE(904)</f>
        <v>61</v>
      </c>
      <c r="D77" s="8">
        <f>_xlfn.COMPOUNDVALUE(1104)</f>
        <v>22</v>
      </c>
      <c r="E77" s="9">
        <f>_xlfn.COMPOUNDVALUE(1103)</f>
        <v>61</v>
      </c>
    </row>
    <row r="78" spans="1:5" ht="11.25">
      <c r="A78" s="7" t="str">
        <f>_xlfn.COMPOUNDVALUE(864)</f>
        <v>Tikehau</v>
      </c>
      <c r="B78" s="8">
        <f>_xlfn.COMPOUNDVALUE(985)</f>
        <v>209</v>
      </c>
      <c r="C78" s="8">
        <f>_xlfn.COMPOUNDVALUE(986)</f>
        <v>529</v>
      </c>
      <c r="D78" s="8">
        <f>_xlfn.COMPOUNDVALUE(1210)</f>
        <v>154</v>
      </c>
      <c r="E78" s="9">
        <f>_xlfn.COMPOUNDVALUE(1061)</f>
        <v>524</v>
      </c>
    </row>
    <row r="79" spans="1:5" ht="11.25">
      <c r="A79" s="7" t="str">
        <f>_xlfn.COMPOUNDVALUE(824)</f>
        <v>Toau</v>
      </c>
      <c r="B79" s="8">
        <f>_xlfn.COMPOUNDVALUE(943)</f>
        <v>5</v>
      </c>
      <c r="C79" s="8">
        <f>_xlfn.COMPOUNDVALUE(903)</f>
        <v>18</v>
      </c>
      <c r="D79" s="8">
        <f>_xlfn.COMPOUNDVALUE(1102)</f>
        <v>4</v>
      </c>
      <c r="E79" s="9">
        <f>_xlfn.COMPOUNDVALUE(1101)</f>
        <v>7</v>
      </c>
    </row>
    <row r="80" spans="1:5" ht="11.25">
      <c r="A80" s="7" t="str">
        <f>_xlfn.COMPOUNDVALUE(863)</f>
        <v>Tureia</v>
      </c>
      <c r="B80" s="8">
        <f>_xlfn.COMPOUNDVALUE(983)</f>
        <v>80</v>
      </c>
      <c r="C80" s="8">
        <f>_xlfn.COMPOUNDVALUE(984)</f>
        <v>243</v>
      </c>
      <c r="D80" s="8">
        <f>_xlfn.COMPOUNDVALUE(1211)</f>
        <v>60</v>
      </c>
      <c r="E80" s="9">
        <f>_xlfn.COMPOUNDVALUE(1060)</f>
        <v>243</v>
      </c>
    </row>
    <row r="81" spans="1:5" ht="11.25">
      <c r="A81" s="7" t="str">
        <f>_xlfn.COMPOUNDVALUE(823)</f>
        <v>Vahitahi</v>
      </c>
      <c r="B81" s="8">
        <f>_xlfn.COMPOUNDVALUE(942)</f>
        <v>31</v>
      </c>
      <c r="C81" s="8">
        <f>_xlfn.COMPOUNDVALUE(902)</f>
        <v>105</v>
      </c>
      <c r="D81" s="8">
        <f>_xlfn.COMPOUNDVALUE(1100)</f>
        <v>29</v>
      </c>
      <c r="E81" s="9">
        <f>_xlfn.COMPOUNDVALUE(1099)</f>
        <v>105</v>
      </c>
    </row>
    <row r="82" spans="1:5" ht="11.25">
      <c r="A82" s="7" t="str">
        <f>_xlfn.COMPOUNDVALUE(862)</f>
        <v>Vairaatea</v>
      </c>
      <c r="B82" s="8">
        <f>_xlfn.COMPOUNDVALUE(981)</f>
        <v>20</v>
      </c>
      <c r="C82" s="8">
        <f>_xlfn.COMPOUNDVALUE(982)</f>
        <v>57</v>
      </c>
      <c r="D82" s="8">
        <f>_xlfn.COMPOUNDVALUE(1212)</f>
        <v>17</v>
      </c>
      <c r="E82" s="9">
        <f>_xlfn.COMPOUNDVALUE(1059)</f>
        <v>57</v>
      </c>
    </row>
    <row r="83" spans="1:5" ht="11.25">
      <c r="A83" s="1"/>
      <c r="B83" s="2"/>
      <c r="C83" s="2"/>
      <c r="D83" s="2"/>
      <c r="E83" s="3"/>
    </row>
    <row r="85" ht="11.25">
      <c r="E85" s="86" t="s">
        <v>49</v>
      </c>
    </row>
  </sheetData>
  <sheetProtection/>
  <mergeCells count="3">
    <mergeCell ref="A1:E1"/>
    <mergeCell ref="D2:E2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2"/>
  <sheetViews>
    <sheetView showGridLines="0" zoomScalePageLayoutView="0" workbookViewId="0" topLeftCell="A1">
      <selection activeCell="A1" sqref="A1:D1"/>
    </sheetView>
  </sheetViews>
  <sheetFormatPr defaultColWidth="11.421875" defaultRowHeight="15"/>
  <cols>
    <col min="1" max="1" width="44.7109375" style="35" customWidth="1"/>
    <col min="2" max="2" width="9.28125" style="35" customWidth="1"/>
    <col min="3" max="3" width="8.57421875" style="35" customWidth="1"/>
    <col min="4" max="4" width="11.7109375" style="35" customWidth="1"/>
    <col min="5" max="16384" width="11.421875" style="35" customWidth="1"/>
  </cols>
  <sheetData>
    <row r="1" spans="1:4" ht="33" customHeight="1">
      <c r="A1" s="222" t="s">
        <v>52</v>
      </c>
      <c r="B1" s="222"/>
      <c r="C1" s="222"/>
      <c r="D1" s="222"/>
    </row>
    <row r="3" spans="1:4" ht="33.75" customHeight="1">
      <c r="A3" s="32" t="s">
        <v>3</v>
      </c>
      <c r="B3" s="33" t="str">
        <f>_xlfn.COMPOUNDVALUE(5)</f>
        <v>Logements</v>
      </c>
      <c r="C3" s="33" t="str">
        <f>_xlfn.COMPOUNDVALUE(8)</f>
        <v>Population</v>
      </c>
      <c r="D3" s="31" t="s">
        <v>51</v>
      </c>
    </row>
    <row r="4" spans="1:4" ht="11.25">
      <c r="A4" s="12" t="str">
        <f>_xlfn.COMPOUNDVALUE(1356)</f>
        <v>Ensemble</v>
      </c>
      <c r="B4" s="13">
        <f>_xlfn.COMPOUNDVALUE(1365)</f>
        <v>88370</v>
      </c>
      <c r="C4" s="13">
        <f>_xlfn.COMPOUNDVALUE(1364)</f>
        <v>268207</v>
      </c>
      <c r="D4" s="27"/>
    </row>
    <row r="5" spans="1:4" ht="11.25">
      <c r="A5" s="7" t="str">
        <f>_xlfn.COMPOUNDVALUE(1353)</f>
        <v>Résidence principale</v>
      </c>
      <c r="B5" s="8">
        <f>_xlfn.COMPOUNDVALUE(1360)</f>
        <v>72708</v>
      </c>
      <c r="C5" s="8">
        <f>_xlfn.COMPOUNDVALUE(1359)</f>
        <v>265160</v>
      </c>
      <c r="D5" s="28">
        <f>_xlfn.COMPOUNDVALUE(1359)</f>
        <v>3.6469164328547063</v>
      </c>
    </row>
    <row r="6" spans="1:4" ht="11.25">
      <c r="A6" s="7" t="str">
        <f>_xlfn.COMPOUNDVALUE(1351)</f>
        <v>Logement occasionnel</v>
      </c>
      <c r="B6" s="8">
        <f>_xlfn.COMPOUNDVALUE(1355)</f>
        <v>1449</v>
      </c>
      <c r="C6" s="8">
        <f>_xlfn.COMPOUNDVALUE(1361)</f>
      </c>
      <c r="D6" s="9"/>
    </row>
    <row r="7" spans="1:4" ht="11.25">
      <c r="A7" s="7" t="str">
        <f>_xlfn.COMPOUNDVALUE(1354)</f>
        <v>Résidence secondaire</v>
      </c>
      <c r="B7" s="8">
        <f>_xlfn.COMPOUNDVALUE(1358)</f>
        <v>5400</v>
      </c>
      <c r="C7" s="8">
        <f>_xlfn.COMPOUNDVALUE(1363)</f>
      </c>
      <c r="D7" s="9"/>
    </row>
    <row r="8" spans="1:4" ht="11.25">
      <c r="A8" s="7" t="str">
        <f>_xlfn.COMPOUNDVALUE(1352)</f>
        <v>Logement vacant</v>
      </c>
      <c r="B8" s="8">
        <f>_xlfn.COMPOUNDVALUE(1357)</f>
        <v>8811</v>
      </c>
      <c r="C8" s="8">
        <f>_xlfn.COMPOUNDVALUE(1362)</f>
      </c>
      <c r="D8" s="9"/>
    </row>
    <row r="9" spans="1:4" ht="11.25">
      <c r="A9" s="7" t="str">
        <f>_xlfn.COMPOUNDVALUE(33)</f>
        <v>Autre personne en collectivité</v>
      </c>
      <c r="B9" s="8">
        <f>_xlfn.COMPOUNDVALUE(50)</f>
      </c>
      <c r="C9" s="8">
        <f>_xlfn.COMPOUNDVALUE(49)</f>
        <v>226</v>
      </c>
      <c r="D9" s="9"/>
    </row>
    <row r="10" spans="1:4" ht="11.25">
      <c r="A10" s="7" t="str">
        <f>_xlfn.COMPOUNDVALUE(37)</f>
        <v>Autres militaire du contingent ou de carrière</v>
      </c>
      <c r="B10" s="8">
        <f>_xlfn.COMPOUNDVALUE(58)</f>
      </c>
      <c r="C10" s="8">
        <f>_xlfn.COMPOUNDVALUE(57)</f>
        <v>432</v>
      </c>
      <c r="D10" s="9"/>
    </row>
    <row r="11" spans="1:4" ht="11.25">
      <c r="A11" s="7" t="str">
        <f>_xlfn.COMPOUNDVALUE(32)</f>
        <v>Autres personne dans un service de moyen ou long séjour</v>
      </c>
      <c r="B11" s="8">
        <f>_xlfn.COMPOUNDVALUE(48)</f>
      </c>
      <c r="C11" s="8">
        <f>_xlfn.COMPOUNDVALUE(47)</f>
        <v>289</v>
      </c>
      <c r="D11" s="9"/>
    </row>
    <row r="12" spans="1:4" ht="11.25">
      <c r="A12" s="7" t="str">
        <f>_xlfn.COMPOUNDVALUE(36)</f>
        <v>Détenu</v>
      </c>
      <c r="B12" s="8">
        <f>_xlfn.COMPOUNDVALUE(56)</f>
      </c>
      <c r="C12" s="8">
        <f>_xlfn.COMPOUNDVALUE(55)</f>
        <v>428</v>
      </c>
      <c r="D12" s="9"/>
    </row>
    <row r="13" spans="1:4" ht="11.25">
      <c r="A13" s="7" t="str">
        <f>_xlfn.COMPOUNDVALUE(31)</f>
        <v>Elève interne</v>
      </c>
      <c r="B13" s="8">
        <f>_xlfn.COMPOUNDVALUE(46)</f>
      </c>
      <c r="C13" s="8">
        <f>_xlfn.COMPOUNDVALUE(45)</f>
        <v>494</v>
      </c>
      <c r="D13" s="9"/>
    </row>
    <row r="14" spans="1:4" ht="11.25">
      <c r="A14" s="7" t="str">
        <f>_xlfn.COMPOUNDVALUE(35)</f>
        <v>Etudiant en cité universitaire</v>
      </c>
      <c r="B14" s="8">
        <f>_xlfn.COMPOUNDVALUE(54)</f>
      </c>
      <c r="C14" s="8">
        <f>_xlfn.COMPOUNDVALUE(53)</f>
        <v>371</v>
      </c>
      <c r="D14" s="9"/>
    </row>
    <row r="15" spans="1:4" ht="11.25">
      <c r="A15" s="7" t="str">
        <f>_xlfn.COMPOUNDVALUE(30)</f>
        <v>Gendarmes</v>
      </c>
      <c r="B15" s="8">
        <f>_xlfn.COMPOUNDVALUE(44)</f>
      </c>
      <c r="C15" s="8">
        <f>_xlfn.COMPOUNDVALUE(43)</f>
        <v>108</v>
      </c>
      <c r="D15" s="9"/>
    </row>
    <row r="16" spans="1:4" ht="11.25">
      <c r="A16" s="7" t="str">
        <f>_xlfn.COMPOUNDVALUE(34)</f>
        <v>Membre d'une communauté religieuse</v>
      </c>
      <c r="B16" s="8">
        <f>_xlfn.COMPOUNDVALUE(52)</f>
      </c>
      <c r="C16" s="8">
        <f>_xlfn.COMPOUNDVALUE(51)</f>
        <v>103</v>
      </c>
      <c r="D16" s="9"/>
    </row>
    <row r="17" spans="1:4" ht="11.25">
      <c r="A17" s="7" t="str">
        <f>_xlfn.COMPOUNDVALUE(29)</f>
        <v>Personne âgée en maison de retraite ou en hospice</v>
      </c>
      <c r="B17" s="8">
        <f>_xlfn.COMPOUNDVALUE(42)</f>
      </c>
      <c r="C17" s="8">
        <f>_xlfn.COMPOUNDVALUE(41)</f>
        <v>56</v>
      </c>
      <c r="D17" s="9"/>
    </row>
    <row r="18" spans="1:4" ht="11.25">
      <c r="A18" s="7" t="str">
        <f>_xlfn.COMPOUNDVALUE(28)</f>
        <v>Travailleur logé dans un foyer</v>
      </c>
      <c r="B18" s="8">
        <f>_xlfn.COMPOUNDVALUE(39)</f>
      </c>
      <c r="C18" s="8">
        <f>_xlfn.COMPOUNDVALUE(40)</f>
        <v>353</v>
      </c>
      <c r="D18" s="9"/>
    </row>
    <row r="19" spans="1:4" ht="11.25">
      <c r="A19" s="14" t="str">
        <f>_xlfn.COMPOUNDVALUE(861)</f>
        <v>Iles Du Vent</v>
      </c>
      <c r="B19" s="15">
        <f>_xlfn.COMPOUNDVALUE(980)</f>
        <v>64557</v>
      </c>
      <c r="C19" s="15">
        <f>_xlfn.COMPOUNDVALUE(940)</f>
        <v>200714</v>
      </c>
      <c r="D19" s="29"/>
    </row>
    <row r="20" spans="1:4" ht="11.25">
      <c r="A20" s="10" t="str">
        <f>_xlfn.COMPOUNDVALUE(1312)</f>
        <v>Résidence principale</v>
      </c>
      <c r="B20" s="8">
        <f>_xlfn.COMPOUNDVALUE(1348)</f>
        <v>54021</v>
      </c>
      <c r="C20" s="8">
        <f>_xlfn.COMPOUNDVALUE(1347)</f>
        <v>198361</v>
      </c>
      <c r="D20" s="28">
        <f>_xlfn.COMPOUNDVALUE(1347)</f>
        <v>3.671923881453509</v>
      </c>
    </row>
    <row r="21" spans="1:4" ht="11.25">
      <c r="A21" s="10" t="str">
        <f>_xlfn.COMPOUNDVALUE(1313)</f>
        <v>Logement occasionnel</v>
      </c>
      <c r="B21" s="8">
        <f>_xlfn.COMPOUNDVALUE(1350)</f>
        <v>896</v>
      </c>
      <c r="C21" s="8">
        <f>_xlfn.COMPOUNDVALUE(1349)</f>
      </c>
      <c r="D21" s="9"/>
    </row>
    <row r="22" spans="1:4" ht="11.25">
      <c r="A22" s="10" t="str">
        <f>_xlfn.COMPOUNDVALUE(1302)</f>
        <v>Résidence secondaire</v>
      </c>
      <c r="B22" s="8">
        <f>_xlfn.COMPOUNDVALUE(1322)</f>
        <v>3061</v>
      </c>
      <c r="C22" s="8"/>
      <c r="D22" s="9"/>
    </row>
    <row r="23" spans="1:4" ht="11.25">
      <c r="A23" s="10" t="str">
        <f>_xlfn.COMPOUNDVALUE(1303)</f>
        <v>Logement vacant</v>
      </c>
      <c r="B23" s="8">
        <f>_xlfn.COMPOUNDVALUE(1323)</f>
        <v>6577</v>
      </c>
      <c r="C23" s="8">
        <f>_xlfn.COMPOUNDVALUE(1330)</f>
      </c>
      <c r="D23" s="9"/>
    </row>
    <row r="24" spans="1:4" ht="11.25">
      <c r="A24" s="10" t="str">
        <f>_xlfn.COMPOUNDVALUE(1213)</f>
        <v>Autre personne en collectivité</v>
      </c>
      <c r="B24" s="8">
        <f>_xlfn.COMPOUNDVALUE(1293)</f>
      </c>
      <c r="C24" s="8">
        <f>_xlfn.COMPOUNDVALUE(1292)</f>
        <v>226</v>
      </c>
      <c r="D24" s="9"/>
    </row>
    <row r="25" spans="1:4" ht="11.25">
      <c r="A25" s="10" t="str">
        <f>_xlfn.COMPOUNDVALUE(1214)</f>
        <v>Autres militaire du contingent ou de carrière</v>
      </c>
      <c r="B25" s="8">
        <f>_xlfn.COMPOUNDVALUE(1267)</f>
      </c>
      <c r="C25" s="8">
        <f>_xlfn.COMPOUNDVALUE(1266)</f>
        <v>327</v>
      </c>
      <c r="D25" s="9"/>
    </row>
    <row r="26" spans="1:4" ht="11.25">
      <c r="A26" s="10" t="str">
        <f>_xlfn.COMPOUNDVALUE(1215)</f>
        <v>Autres personne dans un service de moyen ou long séjour</v>
      </c>
      <c r="B26" s="8">
        <f>_xlfn.COMPOUNDVALUE(1291)</f>
      </c>
      <c r="C26" s="8">
        <f>_xlfn.COMPOUNDVALUE(1290)</f>
        <v>278</v>
      </c>
      <c r="D26" s="9"/>
    </row>
    <row r="27" spans="1:4" ht="11.25">
      <c r="A27" s="10" t="str">
        <f>_xlfn.COMPOUNDVALUE(1216)</f>
        <v>Détenu</v>
      </c>
      <c r="B27" s="8">
        <f>_xlfn.COMPOUNDVALUE(1265)</f>
      </c>
      <c r="C27" s="8">
        <f>_xlfn.COMPOUNDVALUE(1264)</f>
        <v>416</v>
      </c>
      <c r="D27" s="9"/>
    </row>
    <row r="28" spans="1:4" ht="11.25">
      <c r="A28" s="10" t="str">
        <f>_xlfn.COMPOUNDVALUE(1217)</f>
        <v>Elève interne</v>
      </c>
      <c r="B28" s="8">
        <f>_xlfn.COMPOUNDVALUE(1289)</f>
      </c>
      <c r="C28" s="8">
        <f>_xlfn.COMPOUNDVALUE(1288)</f>
        <v>324</v>
      </c>
      <c r="D28" s="9"/>
    </row>
    <row r="29" spans="1:4" ht="11.25">
      <c r="A29" s="10" t="str">
        <f>_xlfn.COMPOUNDVALUE(1218)</f>
        <v>Etudiant en cité universitaire</v>
      </c>
      <c r="B29" s="8">
        <f>_xlfn.COMPOUNDVALUE(1263)</f>
      </c>
      <c r="C29" s="8">
        <f>_xlfn.COMPOUNDVALUE(1262)</f>
        <v>371</v>
      </c>
      <c r="D29" s="9"/>
    </row>
    <row r="30" spans="1:4" ht="11.25">
      <c r="A30" s="10" t="str">
        <f>_xlfn.COMPOUNDVALUE(1219)</f>
        <v>Gendarmes</v>
      </c>
      <c r="B30" s="8">
        <f>_xlfn.COMPOUNDVALUE(1287)</f>
      </c>
      <c r="C30" s="8">
        <f>_xlfn.COMPOUNDVALUE(1286)</f>
        <v>95</v>
      </c>
      <c r="D30" s="9"/>
    </row>
    <row r="31" spans="1:4" ht="11.25">
      <c r="A31" s="10" t="str">
        <f>_xlfn.COMPOUNDVALUE(1220)</f>
        <v>Membre d'une communauté religieuse</v>
      </c>
      <c r="B31" s="8">
        <f>_xlfn.COMPOUNDVALUE(1261)</f>
      </c>
      <c r="C31" s="8">
        <f>_xlfn.COMPOUNDVALUE(1260)</f>
        <v>73</v>
      </c>
      <c r="D31" s="9"/>
    </row>
    <row r="32" spans="1:4" ht="11.25">
      <c r="A32" s="10" t="str">
        <f>_xlfn.COMPOUNDVALUE(1221)</f>
        <v>Personne âgée en maison de retraite ou en hospice</v>
      </c>
      <c r="B32" s="8">
        <f>_xlfn.COMPOUNDVALUE(1285)</f>
      </c>
      <c r="C32" s="8">
        <f>_xlfn.COMPOUNDVALUE(1284)</f>
        <v>56</v>
      </c>
      <c r="D32" s="9"/>
    </row>
    <row r="33" spans="1:4" ht="11.25">
      <c r="A33" s="14" t="str">
        <f>_xlfn.COMPOUNDVALUE(898)</f>
        <v>Iles Sous-Le-Vent</v>
      </c>
      <c r="B33" s="15">
        <f>_xlfn.COMPOUNDVALUE(1053)</f>
        <v>11939</v>
      </c>
      <c r="C33" s="15">
        <f>_xlfn.COMPOUNDVALUE(1054)</f>
        <v>34581</v>
      </c>
      <c r="D33" s="29"/>
    </row>
    <row r="34" spans="1:4" ht="11.25">
      <c r="A34" s="10" t="str">
        <f>_xlfn.COMPOUNDVALUE(1310)</f>
        <v>Résidence principale</v>
      </c>
      <c r="B34" s="8">
        <f>_xlfn.COMPOUNDVALUE(1344)</f>
        <v>9572</v>
      </c>
      <c r="C34" s="8">
        <f>_xlfn.COMPOUNDVALUE(1343)</f>
        <v>34472</v>
      </c>
      <c r="D34" s="28">
        <f>_xlfn.COMPOUNDVALUE(1343)</f>
        <v>3.6013372335979943</v>
      </c>
    </row>
    <row r="35" spans="1:4" ht="11.25">
      <c r="A35" s="10" t="str">
        <f>_xlfn.COMPOUNDVALUE(1311)</f>
        <v>Logement occasionnel</v>
      </c>
      <c r="B35" s="8">
        <f>_xlfn.COMPOUNDVALUE(1346)</f>
        <v>194</v>
      </c>
      <c r="C35" s="8">
        <f>_xlfn.COMPOUNDVALUE(1345)</f>
      </c>
      <c r="D35" s="9"/>
    </row>
    <row r="36" spans="1:4" ht="11.25">
      <c r="A36" s="10" t="str">
        <f>_xlfn.COMPOUNDVALUE(1300)</f>
        <v>Résidence secondaire</v>
      </c>
      <c r="B36" s="8">
        <f>_xlfn.COMPOUNDVALUE(1320)</f>
        <v>1126</v>
      </c>
      <c r="C36" s="8">
        <f>_xlfn.COMPOUNDVALUE(1328)</f>
      </c>
      <c r="D36" s="9"/>
    </row>
    <row r="37" spans="1:4" ht="11.25">
      <c r="A37" s="10" t="str">
        <f>_xlfn.COMPOUNDVALUE(1301)</f>
        <v>Logement vacant</v>
      </c>
      <c r="B37" s="8">
        <f>_xlfn.COMPOUNDVALUE(1321)</f>
        <v>1047</v>
      </c>
      <c r="C37" s="8">
        <f>_xlfn.COMPOUNDVALUE(1329)</f>
      </c>
      <c r="D37" s="9"/>
    </row>
    <row r="38" spans="1:4" ht="11.25">
      <c r="A38" s="10" t="str">
        <f>_xlfn.COMPOUNDVALUE(1222)</f>
        <v>Autres personne dans un service de moyen ou long séjour</v>
      </c>
      <c r="B38" s="8">
        <f>_xlfn.COMPOUNDVALUE(1283)</f>
      </c>
      <c r="C38" s="8">
        <f>_xlfn.COMPOUNDVALUE(1282)</f>
        <v>10</v>
      </c>
      <c r="D38" s="9"/>
    </row>
    <row r="39" spans="1:4" ht="11.25">
      <c r="A39" s="10" t="str">
        <f>_xlfn.COMPOUNDVALUE(1223)</f>
        <v>Détenu</v>
      </c>
      <c r="B39" s="8">
        <f>_xlfn.COMPOUNDVALUE(1259)</f>
      </c>
      <c r="C39" s="8">
        <f>_xlfn.COMPOUNDVALUE(1258)</f>
        <v>10</v>
      </c>
      <c r="D39" s="9"/>
    </row>
    <row r="40" spans="1:4" ht="11.25">
      <c r="A40" s="10" t="str">
        <f>_xlfn.COMPOUNDVALUE(1224)</f>
        <v>Elève interne</v>
      </c>
      <c r="B40" s="8">
        <f>_xlfn.COMPOUNDVALUE(1281)</f>
      </c>
      <c r="C40" s="8">
        <f>_xlfn.COMPOUNDVALUE(1280)</f>
        <v>65</v>
      </c>
      <c r="D40" s="9"/>
    </row>
    <row r="41" spans="1:4" ht="11.25">
      <c r="A41" s="10" t="str">
        <f>_xlfn.COMPOUNDVALUE(1225)</f>
        <v>Membre d'une communauté religieuse</v>
      </c>
      <c r="B41" s="8">
        <f>_xlfn.COMPOUNDVALUE(1257)</f>
      </c>
      <c r="C41" s="8">
        <f>_xlfn.COMPOUNDVALUE(1256)</f>
        <v>6</v>
      </c>
      <c r="D41" s="9"/>
    </row>
    <row r="42" spans="1:4" ht="11.25">
      <c r="A42" s="10" t="str">
        <f>_xlfn.COMPOUNDVALUE(1226)</f>
        <v>Travailleur logé dans un foyer</v>
      </c>
      <c r="B42" s="8">
        <f>_xlfn.COMPOUNDVALUE(1279)</f>
      </c>
      <c r="C42" s="8">
        <f>_xlfn.COMPOUNDVALUE(1278)</f>
        <v>18</v>
      </c>
      <c r="D42" s="9"/>
    </row>
    <row r="43" spans="1:4" ht="11.25">
      <c r="A43" s="14" t="str">
        <f>_xlfn.COMPOUNDVALUE(854)</f>
        <v>Marquises</v>
      </c>
      <c r="B43" s="15">
        <f>_xlfn.COMPOUNDVALUE(973)</f>
        <v>3305</v>
      </c>
      <c r="C43" s="15">
        <f>_xlfn.COMPOUNDVALUE(933)</f>
        <v>9261</v>
      </c>
      <c r="D43" s="29"/>
    </row>
    <row r="44" spans="1:4" ht="11.25">
      <c r="A44" s="10" t="str">
        <f>_xlfn.COMPOUNDVALUE(1308)</f>
        <v>Résidence principale</v>
      </c>
      <c r="B44" s="8">
        <f>_xlfn.COMPOUNDVALUE(1340)</f>
        <v>2597</v>
      </c>
      <c r="C44" s="8">
        <f>_xlfn.COMPOUNDVALUE(1339)</f>
        <v>9190</v>
      </c>
      <c r="D44" s="28">
        <f>_xlfn.COMPOUNDVALUE(1339)</f>
        <v>3.5386984982672316</v>
      </c>
    </row>
    <row r="45" spans="1:4" ht="11.25">
      <c r="A45" s="10" t="str">
        <f>_xlfn.COMPOUNDVALUE(1309)</f>
        <v>Logement occasionnel</v>
      </c>
      <c r="B45" s="8">
        <f>_xlfn.COMPOUNDVALUE(1342)</f>
        <v>124</v>
      </c>
      <c r="C45" s="8">
        <f>_xlfn.COMPOUNDVALUE(1341)</f>
      </c>
      <c r="D45" s="9"/>
    </row>
    <row r="46" spans="1:4" ht="11.25">
      <c r="A46" s="10" t="str">
        <f>_xlfn.COMPOUNDVALUE(1298)</f>
        <v>Résidence secondaire</v>
      </c>
      <c r="B46" s="8">
        <f>_xlfn.COMPOUNDVALUE(1318)</f>
        <v>273</v>
      </c>
      <c r="C46" s="8"/>
      <c r="D46" s="9"/>
    </row>
    <row r="47" spans="1:4" ht="11.25">
      <c r="A47" s="10" t="str">
        <f>_xlfn.COMPOUNDVALUE(1299)</f>
        <v>Logement vacant</v>
      </c>
      <c r="B47" s="8">
        <f>_xlfn.COMPOUNDVALUE(1319)</f>
        <v>311</v>
      </c>
      <c r="C47" s="8">
        <f>_xlfn.COMPOUNDVALUE(1327)</f>
      </c>
      <c r="D47" s="9"/>
    </row>
    <row r="48" spans="1:4" ht="11.25">
      <c r="A48" s="10" t="str">
        <f>_xlfn.COMPOUNDVALUE(1227)</f>
        <v>Détenu</v>
      </c>
      <c r="B48" s="8">
        <f>_xlfn.COMPOUNDVALUE(1277)</f>
      </c>
      <c r="C48" s="8">
        <f>_xlfn.COMPOUNDVALUE(1276)</f>
        <v>2</v>
      </c>
      <c r="D48" s="9"/>
    </row>
    <row r="49" spans="1:4" ht="11.25">
      <c r="A49" s="10" t="str">
        <f>_xlfn.COMPOUNDVALUE(1228)</f>
        <v>Elève interne</v>
      </c>
      <c r="B49" s="8">
        <f>_xlfn.COMPOUNDVALUE(1255)</f>
      </c>
      <c r="C49" s="8">
        <f>_xlfn.COMPOUNDVALUE(1254)</f>
        <v>53</v>
      </c>
      <c r="D49" s="9"/>
    </row>
    <row r="50" spans="1:4" ht="11.25">
      <c r="A50" s="10" t="str">
        <f>_xlfn.COMPOUNDVALUE(1229)</f>
        <v>Membre d'une communauté religieuse</v>
      </c>
      <c r="B50" s="8">
        <f>_xlfn.COMPOUNDVALUE(1275)</f>
      </c>
      <c r="C50" s="8">
        <f>_xlfn.COMPOUNDVALUE(1274)</f>
        <v>12</v>
      </c>
      <c r="D50" s="9"/>
    </row>
    <row r="51" spans="1:4" ht="11.25">
      <c r="A51" s="10" t="str">
        <f>_xlfn.COMPOUNDVALUE(1230)</f>
        <v>Travailleur logé dans un foyer</v>
      </c>
      <c r="B51" s="8">
        <f>_xlfn.COMPOUNDVALUE(1253)</f>
      </c>
      <c r="C51" s="8">
        <f>_xlfn.COMPOUNDVALUE(1252)</f>
        <v>4</v>
      </c>
      <c r="D51" s="9"/>
    </row>
    <row r="52" spans="1:4" ht="11.25">
      <c r="A52" s="14" t="str">
        <f>_xlfn.COMPOUNDVALUE(890)</f>
        <v>Australes</v>
      </c>
      <c r="B52" s="15">
        <f>_xlfn.COMPOUNDVALUE(1037)</f>
        <v>2319</v>
      </c>
      <c r="C52" s="15">
        <f>_xlfn.COMPOUNDVALUE(1038)</f>
        <v>6820</v>
      </c>
      <c r="D52" s="29"/>
    </row>
    <row r="53" spans="1:4" ht="11.25">
      <c r="A53" s="10" t="str">
        <f>_xlfn.COMPOUNDVALUE(1306)</f>
        <v>Résidence principale</v>
      </c>
      <c r="B53" s="8">
        <f>_xlfn.COMPOUNDVALUE(1336)</f>
        <v>1837</v>
      </c>
      <c r="C53" s="8">
        <f>_xlfn.COMPOUNDVALUE(1335)</f>
        <v>6739</v>
      </c>
      <c r="D53" s="28">
        <f>_xlfn.COMPOUNDVALUE(1335)</f>
        <v>3.668481219379423</v>
      </c>
    </row>
    <row r="54" spans="1:4" ht="11.25">
      <c r="A54" s="10" t="str">
        <f>_xlfn.COMPOUNDVALUE(1307)</f>
        <v>Logement occasionnel</v>
      </c>
      <c r="B54" s="8">
        <f>_xlfn.COMPOUNDVALUE(1338)</f>
        <v>5</v>
      </c>
      <c r="C54" s="8">
        <f>_xlfn.COMPOUNDVALUE(1337)</f>
      </c>
      <c r="D54" s="9"/>
    </row>
    <row r="55" spans="1:4" ht="11.25">
      <c r="A55" s="10" t="str">
        <f>_xlfn.COMPOUNDVALUE(1296)</f>
        <v>Résidence secondaire</v>
      </c>
      <c r="B55" s="8">
        <f>_xlfn.COMPOUNDVALUE(1316)</f>
        <v>326</v>
      </c>
      <c r="C55" s="8"/>
      <c r="D55" s="9"/>
    </row>
    <row r="56" spans="1:4" ht="11.25">
      <c r="A56" s="10" t="str">
        <f>_xlfn.COMPOUNDVALUE(1297)</f>
        <v>Logement vacant</v>
      </c>
      <c r="B56" s="8">
        <f>_xlfn.COMPOUNDVALUE(1317)</f>
        <v>151</v>
      </c>
      <c r="C56" s="8">
        <f>_xlfn.COMPOUNDVALUE(1326)</f>
      </c>
      <c r="D56" s="9"/>
    </row>
    <row r="57" spans="1:4" ht="11.25">
      <c r="A57" s="10" t="str">
        <f>_xlfn.COMPOUNDVALUE(1231)</f>
        <v>Autres militaire du contingent ou de carrière</v>
      </c>
      <c r="B57" s="8">
        <f>_xlfn.COMPOUNDVALUE(1251)</f>
      </c>
      <c r="C57" s="8">
        <f>_xlfn.COMPOUNDVALUE(1250)</f>
        <v>69</v>
      </c>
      <c r="D57" s="9"/>
    </row>
    <row r="58" spans="1:4" ht="11.25">
      <c r="A58" s="10" t="str">
        <f>_xlfn.COMPOUNDVALUE(1232)</f>
        <v>Membre d'une communauté religieuse</v>
      </c>
      <c r="B58" s="8">
        <f>_xlfn.COMPOUNDVALUE(1273)</f>
      </c>
      <c r="C58" s="8">
        <f>_xlfn.COMPOUNDVALUE(1272)</f>
        <v>7</v>
      </c>
      <c r="D58" s="9"/>
    </row>
    <row r="59" spans="1:4" ht="11.25">
      <c r="A59" s="10" t="str">
        <f>_xlfn.COMPOUNDVALUE(1233)</f>
        <v>Travailleur logé dans un foyer</v>
      </c>
      <c r="B59" s="8">
        <f>_xlfn.COMPOUNDVALUE(1249)</f>
      </c>
      <c r="C59" s="8">
        <f>_xlfn.COMPOUNDVALUE(1248)</f>
        <v>5</v>
      </c>
      <c r="D59" s="9"/>
    </row>
    <row r="60" spans="1:4" ht="11.25">
      <c r="A60" s="14" t="str">
        <f>_xlfn.COMPOUNDVALUE(887)</f>
        <v>Tuamotu-Gambier</v>
      </c>
      <c r="B60" s="15">
        <f>_xlfn.COMPOUNDVALUE(1031)</f>
        <v>6250</v>
      </c>
      <c r="C60" s="15">
        <f>_xlfn.COMPOUNDVALUE(1032)</f>
        <v>16831</v>
      </c>
      <c r="D60" s="29"/>
    </row>
    <row r="61" spans="1:4" ht="11.25">
      <c r="A61" s="10" t="str">
        <f>_xlfn.COMPOUNDVALUE(1304)</f>
        <v>Résidence principale</v>
      </c>
      <c r="B61" s="8">
        <f>_xlfn.COMPOUNDVALUE(1332)</f>
        <v>4681</v>
      </c>
      <c r="C61" s="8">
        <f>_xlfn.COMPOUNDVALUE(1331)</f>
        <v>16398</v>
      </c>
      <c r="D61" s="28">
        <f>_xlfn.COMPOUNDVALUE(1331)</f>
        <v>3.5030976287118136</v>
      </c>
    </row>
    <row r="62" spans="1:4" ht="11.25">
      <c r="A62" s="10" t="str">
        <f>_xlfn.COMPOUNDVALUE(1305)</f>
        <v>Logement occasionnel</v>
      </c>
      <c r="B62" s="8">
        <f>_xlfn.COMPOUNDVALUE(1334)</f>
        <v>230</v>
      </c>
      <c r="C62" s="8">
        <f>_xlfn.COMPOUNDVALUE(1333)</f>
      </c>
      <c r="D62" s="9"/>
    </row>
    <row r="63" spans="1:4" ht="11.25">
      <c r="A63" s="10" t="str">
        <f>_xlfn.COMPOUNDVALUE(1294)</f>
        <v>Résidence secondaire</v>
      </c>
      <c r="B63" s="8">
        <f>_xlfn.COMPOUNDVALUE(1314)</f>
        <v>614</v>
      </c>
      <c r="C63" s="8">
        <f>_xlfn.COMPOUNDVALUE(1324)</f>
      </c>
      <c r="D63" s="9"/>
    </row>
    <row r="64" spans="1:4" ht="11.25">
      <c r="A64" s="10" t="str">
        <f>_xlfn.COMPOUNDVALUE(1295)</f>
        <v>Logement vacant</v>
      </c>
      <c r="B64" s="8">
        <f>_xlfn.COMPOUNDVALUE(1315)</f>
        <v>725</v>
      </c>
      <c r="C64" s="8">
        <f>_xlfn.COMPOUNDVALUE(1325)</f>
      </c>
      <c r="D64" s="9"/>
    </row>
    <row r="65" spans="1:4" ht="11.25">
      <c r="A65" s="10" t="str">
        <f>_xlfn.COMPOUNDVALUE(1234)</f>
        <v>Autres militaire du contingent ou de carrière</v>
      </c>
      <c r="B65" s="8">
        <f>_xlfn.COMPOUNDVALUE(1247)</f>
      </c>
      <c r="C65" s="8">
        <f>_xlfn.COMPOUNDVALUE(1246)</f>
        <v>36</v>
      </c>
      <c r="D65" s="9"/>
    </row>
    <row r="66" spans="1:4" ht="11.25">
      <c r="A66" s="10" t="str">
        <f>_xlfn.COMPOUNDVALUE(1235)</f>
        <v>Autres personne dans un service de moyen ou long séjour</v>
      </c>
      <c r="B66" s="8">
        <f>_xlfn.COMPOUNDVALUE(1271)</f>
      </c>
      <c r="C66" s="8">
        <f>_xlfn.COMPOUNDVALUE(1270)</f>
        <v>1</v>
      </c>
      <c r="D66" s="9"/>
    </row>
    <row r="67" spans="1:4" ht="11.25">
      <c r="A67" s="10" t="str">
        <f>_xlfn.COMPOUNDVALUE(1236)</f>
        <v>Elève interne</v>
      </c>
      <c r="B67" s="8">
        <f>_xlfn.COMPOUNDVALUE(1245)</f>
      </c>
      <c r="C67" s="8">
        <f>_xlfn.COMPOUNDVALUE(1244)</f>
        <v>52</v>
      </c>
      <c r="D67" s="9"/>
    </row>
    <row r="68" spans="1:4" ht="11.25">
      <c r="A68" s="10" t="str">
        <f>_xlfn.COMPOUNDVALUE(1237)</f>
        <v>Gendarmes</v>
      </c>
      <c r="B68" s="8">
        <f>_xlfn.COMPOUNDVALUE(1269)</f>
      </c>
      <c r="C68" s="8">
        <f>_xlfn.COMPOUNDVALUE(1268)</f>
        <v>13</v>
      </c>
      <c r="D68" s="9"/>
    </row>
    <row r="69" spans="1:4" ht="11.25">
      <c r="A69" s="10" t="str">
        <f>_xlfn.COMPOUNDVALUE(1238)</f>
        <v>Membre d'une communauté religieuse</v>
      </c>
      <c r="B69" s="8">
        <f>_xlfn.COMPOUNDVALUE(1243)</f>
      </c>
      <c r="C69" s="8">
        <f>_xlfn.COMPOUNDVALUE(1242)</f>
        <v>5</v>
      </c>
      <c r="D69" s="9"/>
    </row>
    <row r="70" spans="1:4" ht="11.25">
      <c r="A70" s="30" t="str">
        <f>_xlfn.COMPOUNDVALUE(1239)</f>
        <v>Travailleur logé dans un foyer</v>
      </c>
      <c r="B70" s="2">
        <f>_xlfn.COMPOUNDVALUE(1241)</f>
      </c>
      <c r="C70" s="2">
        <f>_xlfn.COMPOUNDVALUE(1240)</f>
        <v>326</v>
      </c>
      <c r="D70" s="3"/>
    </row>
    <row r="72" ht="11.25">
      <c r="D72" s="34" t="s">
        <v>49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PageLayoutView="0" workbookViewId="0" topLeftCell="A6">
      <selection activeCell="D11" sqref="D11"/>
    </sheetView>
  </sheetViews>
  <sheetFormatPr defaultColWidth="11.421875" defaultRowHeight="15"/>
  <cols>
    <col min="1" max="1" width="13.00390625" style="35" customWidth="1"/>
    <col min="2" max="3" width="8.7109375" style="35" customWidth="1"/>
    <col min="4" max="4" width="10.00390625" style="35" customWidth="1"/>
    <col min="5" max="8" width="8.7109375" style="35" customWidth="1"/>
    <col min="9" max="9" width="11.140625" style="35" customWidth="1"/>
    <col min="10" max="16384" width="11.421875" style="35" customWidth="1"/>
  </cols>
  <sheetData>
    <row r="1" spans="1:8" ht="33" customHeight="1">
      <c r="A1" s="223" t="s">
        <v>54</v>
      </c>
      <c r="B1" s="223"/>
      <c r="C1" s="223"/>
      <c r="D1" s="223"/>
      <c r="E1" s="223"/>
      <c r="F1" s="223"/>
      <c r="G1" s="223"/>
      <c r="H1" s="223"/>
    </row>
    <row r="3" spans="1:9" ht="11.25">
      <c r="A3" s="35" t="str">
        <f>_xlfn.COMPOUNDVALUE(5)</f>
        <v> </v>
      </c>
      <c r="B3" s="36"/>
      <c r="C3" s="36"/>
      <c r="D3" s="38" t="s">
        <v>53</v>
      </c>
      <c r="E3" s="36"/>
      <c r="F3" s="36"/>
      <c r="G3" s="36">
        <f>_xlfn.COMPOUNDVALUE(1356)</f>
      </c>
      <c r="H3" s="42" t="str">
        <f>_xlfn.COMPOUNDVALUE(1833)</f>
        <v>Population</v>
      </c>
      <c r="I3" s="36" t="str">
        <f>_xlfn.COMPOUNDVALUE(38)</f>
        <v> </v>
      </c>
    </row>
    <row r="4" spans="1:9" ht="38.25" customHeight="1">
      <c r="A4" s="39" t="s">
        <v>3</v>
      </c>
      <c r="B4" s="37" t="str">
        <f>_xlfn.COMPOUNDVALUE(1832)</f>
        <v>Ensemble</v>
      </c>
      <c r="C4" s="211" t="str">
        <f>_xlfn.COMPOUNDVALUE(1830)</f>
        <v>Résidence principale</v>
      </c>
      <c r="D4" s="211" t="str">
        <f>_xlfn.COMPOUNDVALUE(1828)</f>
        <v>Logement occasionnel</v>
      </c>
      <c r="E4" s="211" t="str">
        <f>_xlfn.COMPOUNDVALUE(1829)</f>
        <v>Logement vacant</v>
      </c>
      <c r="F4" s="211" t="str">
        <f>_xlfn.COMPOUNDVALUE(1831)</f>
        <v>Résidence secondaire</v>
      </c>
      <c r="G4" s="212" t="str">
        <f>_xlfn.COMPOUNDVALUE(1356)</f>
        <v>totale</v>
      </c>
      <c r="H4" s="212" t="str">
        <f>_xlfn.COMPOUNDVALUE(1833)</f>
        <v>des résidences principales</v>
      </c>
      <c r="I4" s="212" t="str">
        <f>_xlfn.COMPOUNDVALUE(38)</f>
        <v> sans abris et communautés</v>
      </c>
    </row>
    <row r="5" spans="1:9" ht="15" customHeight="1">
      <c r="A5" s="40" t="str">
        <f>_xlfn.COMPOUNDVALUE(136)</f>
        <v>Total général</v>
      </c>
      <c r="B5" s="43">
        <f>_xlfn.COMPOUNDVALUE(2000)</f>
        <v>88370</v>
      </c>
      <c r="C5" s="43">
        <f>_xlfn.COMPOUNDVALUE(2002)</f>
        <v>72708</v>
      </c>
      <c r="D5" s="43">
        <f>_xlfn.COMPOUNDVALUE(1990)</f>
        <v>1449</v>
      </c>
      <c r="E5" s="43">
        <f>_xlfn.COMPOUNDVALUE(1999)</f>
        <v>8811</v>
      </c>
      <c r="F5" s="43">
        <f>_xlfn.COMPOUNDVALUE(2001)</f>
        <v>5402</v>
      </c>
      <c r="G5" s="43">
        <f>_xlfn.COMPOUNDVALUE(2171)</f>
        <v>268207</v>
      </c>
      <c r="H5" s="43">
        <f>_xlfn.COMPOUNDVALUE(2104)</f>
        <v>265160</v>
      </c>
      <c r="I5" s="47">
        <f>_xlfn.COMPOUNDVALUE(2172)</f>
        <v>3047</v>
      </c>
    </row>
    <row r="6" spans="1:9" ht="15" customHeight="1">
      <c r="A6" s="19" t="str">
        <f>_xlfn.COMPOUNDVALUE(135)</f>
        <v>Iles Du Vent</v>
      </c>
      <c r="B6" s="44">
        <f>_xlfn.COMPOUNDVALUE(1901)</f>
        <v>64557</v>
      </c>
      <c r="C6" s="44">
        <f>_xlfn.COMPOUNDVALUE(1937)</f>
        <v>54021</v>
      </c>
      <c r="D6" s="44">
        <f>_xlfn.COMPOUNDVALUE(2029)</f>
        <v>896</v>
      </c>
      <c r="E6" s="44">
        <f>_xlfn.COMPOUNDVALUE(2090)</f>
        <v>6577</v>
      </c>
      <c r="F6" s="44">
        <f>_xlfn.COMPOUNDVALUE(1902)</f>
        <v>3063</v>
      </c>
      <c r="G6" s="44">
        <f>_xlfn.COMPOUNDVALUE(2230)</f>
        <v>200714</v>
      </c>
      <c r="H6" s="44">
        <f>_xlfn.COMPOUNDVALUE(2124)</f>
        <v>198361</v>
      </c>
      <c r="I6" s="48">
        <f>_xlfn.COMPOUNDVALUE(2144)</f>
        <v>2353</v>
      </c>
    </row>
    <row r="7" spans="1:9" ht="11.25">
      <c r="A7" s="7" t="str">
        <f>_xlfn.COMPOUNDVALUE(211)</f>
        <v>Arue</v>
      </c>
      <c r="B7" s="45">
        <f>_xlfn.COMPOUNDVALUE(1873)</f>
        <v>2942</v>
      </c>
      <c r="C7" s="45">
        <f>_xlfn.COMPOUNDVALUE(1842)</f>
        <v>2567</v>
      </c>
      <c r="D7" s="45">
        <f>_xlfn.COMPOUNDVALUE(1938)</f>
        <v>16</v>
      </c>
      <c r="E7" s="45">
        <f>_xlfn.COMPOUNDVALUE(1903)</f>
        <v>330</v>
      </c>
      <c r="F7" s="45">
        <f>_xlfn.COMPOUNDVALUE(1853)</f>
        <v>29</v>
      </c>
      <c r="G7" s="45">
        <f>_xlfn.COMPOUNDVALUE(2197)</f>
        <v>9537</v>
      </c>
      <c r="H7" s="45">
        <f>_xlfn.COMPOUNDVALUE(2145)</f>
        <v>9323</v>
      </c>
      <c r="I7" s="49">
        <f>_xlfn.COMPOUNDVALUE(2198)</f>
        <v>214</v>
      </c>
    </row>
    <row r="8" spans="1:9" ht="11.25">
      <c r="A8" s="7" t="str">
        <f>_xlfn.COMPOUNDVALUE(134)</f>
        <v>Faaa</v>
      </c>
      <c r="B8" s="45">
        <f>_xlfn.COMPOUNDVALUE(2021)</f>
        <v>8074</v>
      </c>
      <c r="C8" s="45">
        <f>_xlfn.COMPOUNDVALUE(1939)</f>
        <v>7261</v>
      </c>
      <c r="D8" s="45">
        <f>_xlfn.COMPOUNDVALUE(2020)</f>
        <v>73</v>
      </c>
      <c r="E8" s="45">
        <f>_xlfn.COMPOUNDVALUE(2064)</f>
        <v>578</v>
      </c>
      <c r="F8" s="45">
        <f>_xlfn.COMPOUNDVALUE(1904)</f>
        <v>162</v>
      </c>
      <c r="G8" s="45">
        <f>_xlfn.COMPOUNDVALUE(2222)</f>
        <v>29719</v>
      </c>
      <c r="H8" s="45">
        <f>_xlfn.COMPOUNDVALUE(2123)</f>
        <v>29189</v>
      </c>
      <c r="I8" s="49">
        <f>_xlfn.COMPOUNDVALUE(2143)</f>
        <v>530</v>
      </c>
    </row>
    <row r="9" spans="1:9" ht="11.25">
      <c r="A9" s="7" t="str">
        <f>_xlfn.COMPOUNDVALUE(210)</f>
        <v>Hitiaa O Te Ra</v>
      </c>
      <c r="B9" s="45">
        <f>_xlfn.COMPOUNDVALUE(2063)</f>
        <v>2876</v>
      </c>
      <c r="C9" s="45">
        <f>_xlfn.COMPOUNDVALUE(2062)</f>
        <v>2468</v>
      </c>
      <c r="D9" s="45">
        <f>_xlfn.COMPOUNDVALUE(1940)</f>
        <v>35</v>
      </c>
      <c r="E9" s="45">
        <f>_xlfn.COMPOUNDVALUE(1905)</f>
        <v>161</v>
      </c>
      <c r="F9" s="45">
        <f>_xlfn.COMPOUNDVALUE(2061)</f>
        <v>212</v>
      </c>
      <c r="G9" s="45">
        <f>_xlfn.COMPOUNDVALUE(2231)</f>
        <v>9553</v>
      </c>
      <c r="H9" s="45">
        <f>_xlfn.COMPOUNDVALUE(2146)</f>
        <v>9539</v>
      </c>
      <c r="I9" s="49">
        <f>_xlfn.COMPOUNDVALUE(2199)</f>
        <v>14</v>
      </c>
    </row>
    <row r="10" spans="1:9" ht="11.25">
      <c r="A10" s="7" t="str">
        <f>_xlfn.COMPOUNDVALUE(131)</f>
        <v>Mahina</v>
      </c>
      <c r="B10" s="45">
        <f>_xlfn.COMPOUNDVALUE(1900)</f>
        <v>4287</v>
      </c>
      <c r="C10" s="45">
        <f>_xlfn.COMPOUNDVALUE(1941)</f>
        <v>3771</v>
      </c>
      <c r="D10" s="45">
        <f>_xlfn.COMPOUNDVALUE(2030)</f>
        <v>43</v>
      </c>
      <c r="E10" s="45">
        <f>_xlfn.COMPOUNDVALUE(2091)</f>
        <v>387</v>
      </c>
      <c r="F10" s="45">
        <f>_xlfn.COMPOUNDVALUE(1906)</f>
        <v>86</v>
      </c>
      <c r="G10" s="45">
        <f>_xlfn.COMPOUNDVALUE(2265)</f>
        <v>14368</v>
      </c>
      <c r="H10" s="45">
        <f>_xlfn.COMPOUNDVALUE(2264)</f>
        <v>14326</v>
      </c>
      <c r="I10" s="49">
        <f>_xlfn.COMPOUNDVALUE(2263)</f>
        <v>42</v>
      </c>
    </row>
    <row r="11" spans="1:9" ht="11.25">
      <c r="A11" s="7" t="str">
        <f>_xlfn.COMPOUNDVALUE(207)</f>
        <v>Moorea-Maiao</v>
      </c>
      <c r="B11" s="45">
        <f>_xlfn.COMPOUNDVALUE(1907)</f>
        <v>6778</v>
      </c>
      <c r="C11" s="45">
        <f>_xlfn.COMPOUNDVALUE(1841)</f>
        <v>5027</v>
      </c>
      <c r="D11" s="45">
        <f>_xlfn.COMPOUNDVALUE(1942)</f>
        <v>143</v>
      </c>
      <c r="E11" s="45">
        <f>_xlfn.COMPOUNDVALUE(2077)</f>
        <v>855</v>
      </c>
      <c r="F11" s="45">
        <f>_xlfn.COMPOUNDVALUE(1852)</f>
        <v>753</v>
      </c>
      <c r="G11" s="45">
        <f>_xlfn.COMPOUNDVALUE(2195)</f>
        <v>17234</v>
      </c>
      <c r="H11" s="45">
        <f>_xlfn.COMPOUNDVALUE(2147)</f>
        <v>17160</v>
      </c>
      <c r="I11" s="49">
        <f>_xlfn.COMPOUNDVALUE(2196)</f>
        <v>74</v>
      </c>
    </row>
    <row r="12" spans="1:9" ht="11.25">
      <c r="A12" s="7" t="str">
        <f>_xlfn.COMPOUNDVALUE(127)</f>
        <v>Paea</v>
      </c>
      <c r="B12" s="45">
        <f>_xlfn.COMPOUNDVALUE(1992)</f>
        <v>3783</v>
      </c>
      <c r="C12" s="45">
        <f>_xlfn.COMPOUNDVALUE(1943)</f>
        <v>3252</v>
      </c>
      <c r="D12" s="45">
        <f>_xlfn.COMPOUNDVALUE(2022)</f>
        <v>51</v>
      </c>
      <c r="E12" s="45">
        <f>_xlfn.COMPOUNDVALUE(2065)</f>
        <v>372</v>
      </c>
      <c r="F12" s="45">
        <f>_xlfn.COMPOUNDVALUE(1908)</f>
        <v>108</v>
      </c>
      <c r="G12" s="45">
        <f>_xlfn.COMPOUNDVALUE(2232)</f>
        <v>12513</v>
      </c>
      <c r="H12" s="45">
        <f>_xlfn.COMPOUNDVALUE(2122)</f>
        <v>12507</v>
      </c>
      <c r="I12" s="49">
        <f>_xlfn.COMPOUNDVALUE(2142)</f>
        <v>6</v>
      </c>
    </row>
    <row r="13" spans="1:9" ht="11.25">
      <c r="A13" s="7" t="str">
        <f>_xlfn.COMPOUNDVALUE(203)</f>
        <v>Papara</v>
      </c>
      <c r="B13" s="45">
        <f>_xlfn.COMPOUNDVALUE(1872)</f>
        <v>3453</v>
      </c>
      <c r="C13" s="45">
        <f>_xlfn.COMPOUNDVALUE(1881)</f>
        <v>2870</v>
      </c>
      <c r="D13" s="45">
        <f>_xlfn.COMPOUNDVALUE(1944)</f>
        <v>52</v>
      </c>
      <c r="E13" s="45">
        <f>_xlfn.COMPOUNDVALUE(1909)</f>
        <v>299</v>
      </c>
      <c r="F13" s="45">
        <f>_xlfn.COMPOUNDVALUE(1899)</f>
        <v>232</v>
      </c>
      <c r="G13" s="45">
        <f>_xlfn.COMPOUNDVALUE(2220)</f>
        <v>11081</v>
      </c>
      <c r="H13" s="45">
        <f>_xlfn.COMPOUNDVALUE(2148)</f>
        <v>11019</v>
      </c>
      <c r="I13" s="49">
        <f>_xlfn.COMPOUNDVALUE(2221)</f>
        <v>62</v>
      </c>
    </row>
    <row r="14" spans="1:9" ht="11.25">
      <c r="A14" s="7" t="str">
        <f>_xlfn.COMPOUNDVALUE(126)</f>
        <v>Papeete</v>
      </c>
      <c r="B14" s="45">
        <f>_xlfn.COMPOUNDVALUE(1898)</f>
        <v>8392</v>
      </c>
      <c r="C14" s="45">
        <f>_xlfn.COMPOUNDVALUE(1945)</f>
        <v>7015</v>
      </c>
      <c r="D14" s="45">
        <f>_xlfn.COMPOUNDVALUE(2031)</f>
        <v>126</v>
      </c>
      <c r="E14" s="45">
        <f>_xlfn.COMPOUNDVALUE(2092)</f>
        <v>1043</v>
      </c>
      <c r="F14" s="45">
        <f>_xlfn.COMPOUNDVALUE(1910)</f>
        <v>208</v>
      </c>
      <c r="G14" s="45">
        <f>_xlfn.COMPOUNDVALUE(2233)</f>
        <v>25763</v>
      </c>
      <c r="H14" s="45">
        <f>_xlfn.COMPOUNDVALUE(2121)</f>
        <v>25239</v>
      </c>
      <c r="I14" s="49">
        <f>_xlfn.COMPOUNDVALUE(2141)</f>
        <v>524</v>
      </c>
    </row>
    <row r="15" spans="1:9" ht="11.25">
      <c r="A15" s="7" t="str">
        <f>_xlfn.COMPOUNDVALUE(202)</f>
        <v>Pirae</v>
      </c>
      <c r="B15" s="45">
        <f>_xlfn.COMPOUNDVALUE(1912)</f>
        <v>4296</v>
      </c>
      <c r="C15" s="45">
        <f>_xlfn.COMPOUNDVALUE(2006)</f>
        <v>3757</v>
      </c>
      <c r="D15" s="45">
        <f>_xlfn.COMPOUNDVALUE(1946)</f>
        <v>41</v>
      </c>
      <c r="E15" s="45">
        <f>_xlfn.COMPOUNDVALUE(1911)</f>
        <v>438</v>
      </c>
      <c r="F15" s="45">
        <f>_xlfn.COMPOUNDVALUE(2005)</f>
        <v>60</v>
      </c>
      <c r="G15" s="45">
        <f>_xlfn.COMPOUNDVALUE(2193)</f>
        <v>14094</v>
      </c>
      <c r="H15" s="45">
        <f>_xlfn.COMPOUNDVALUE(2149)</f>
        <v>13848</v>
      </c>
      <c r="I15" s="49">
        <f>_xlfn.COMPOUNDVALUE(2194)</f>
        <v>246</v>
      </c>
    </row>
    <row r="16" spans="1:9" ht="11.25">
      <c r="A16" s="7" t="str">
        <f>_xlfn.COMPOUNDVALUE(125)</f>
        <v>Punaauia</v>
      </c>
      <c r="B16" s="45">
        <f>_xlfn.COMPOUNDVALUE(2019)</f>
        <v>9506</v>
      </c>
      <c r="C16" s="45">
        <f>_xlfn.COMPOUNDVALUE(1947)</f>
        <v>8228</v>
      </c>
      <c r="D16" s="45">
        <f>_xlfn.COMPOUNDVALUE(2017)</f>
        <v>78</v>
      </c>
      <c r="E16" s="45">
        <f>_xlfn.COMPOUNDVALUE(2066)</f>
        <v>1050</v>
      </c>
      <c r="F16" s="45">
        <f>_xlfn.COMPOUNDVALUE(2018)</f>
        <v>150</v>
      </c>
      <c r="G16" s="45">
        <f>_xlfn.COMPOUNDVALUE(2223)</f>
        <v>27622</v>
      </c>
      <c r="H16" s="45">
        <f>_xlfn.COMPOUNDVALUE(2120)</f>
        <v>27093</v>
      </c>
      <c r="I16" s="49">
        <f>_xlfn.COMPOUNDVALUE(2140)</f>
        <v>529</v>
      </c>
    </row>
    <row r="17" spans="1:9" ht="11.25">
      <c r="A17" s="7" t="str">
        <f>_xlfn.COMPOUNDVALUE(201)</f>
        <v>Taiarapu-Est</v>
      </c>
      <c r="B17" s="45">
        <f>_xlfn.COMPOUNDVALUE(2060)</f>
        <v>4390</v>
      </c>
      <c r="C17" s="45">
        <f>_xlfn.COMPOUNDVALUE(2059)</f>
        <v>3272</v>
      </c>
      <c r="D17" s="45">
        <f>_xlfn.COMPOUNDVALUE(1948)</f>
        <v>127</v>
      </c>
      <c r="E17" s="45">
        <f>_xlfn.COMPOUNDVALUE(1913)</f>
        <v>602</v>
      </c>
      <c r="F17" s="45">
        <f>_xlfn.COMPOUNDVALUE(2058)</f>
        <v>389</v>
      </c>
      <c r="G17" s="45">
        <f>_xlfn.COMPOUNDVALUE(2234)</f>
        <v>12202</v>
      </c>
      <c r="H17" s="45">
        <f>_xlfn.COMPOUNDVALUE(2150)</f>
        <v>12123</v>
      </c>
      <c r="I17" s="49">
        <f>_xlfn.COMPOUNDVALUE(2200)</f>
        <v>79</v>
      </c>
    </row>
    <row r="18" spans="1:9" ht="11.25">
      <c r="A18" s="7" t="str">
        <f>_xlfn.COMPOUNDVALUE(122)</f>
        <v>Taiarapu-Ouest</v>
      </c>
      <c r="B18" s="45">
        <f>_xlfn.COMPOUNDVALUE(1897)</f>
        <v>2681</v>
      </c>
      <c r="C18" s="45">
        <f>_xlfn.COMPOUNDVALUE(1949)</f>
        <v>2095</v>
      </c>
      <c r="D18" s="45">
        <f>_xlfn.COMPOUNDVALUE(2032)</f>
        <v>39</v>
      </c>
      <c r="E18" s="45">
        <f>_xlfn.COMPOUNDVALUE(2093)</f>
        <v>174</v>
      </c>
      <c r="F18" s="45">
        <f>_xlfn.COMPOUNDVALUE(1914)</f>
        <v>373</v>
      </c>
      <c r="G18" s="45">
        <f>_xlfn.COMPOUNDVALUE(2262)</f>
        <v>7637</v>
      </c>
      <c r="H18" s="45">
        <f>_xlfn.COMPOUNDVALUE(2261)</f>
        <v>7621</v>
      </c>
      <c r="I18" s="49">
        <f>_xlfn.COMPOUNDVALUE(2260)</f>
        <v>16</v>
      </c>
    </row>
    <row r="19" spans="1:9" ht="11.25">
      <c r="A19" s="7" t="str">
        <f>_xlfn.COMPOUNDVALUE(120)</f>
        <v>Teva I Uta</v>
      </c>
      <c r="B19" s="45">
        <f>_xlfn.COMPOUNDVALUE(1871)</f>
        <v>3099</v>
      </c>
      <c r="C19" s="45">
        <f>_xlfn.COMPOUNDVALUE(1840)</f>
        <v>2438</v>
      </c>
      <c r="D19" s="45">
        <f>_xlfn.COMPOUNDVALUE(1950)</f>
        <v>72</v>
      </c>
      <c r="E19" s="45">
        <f>_xlfn.COMPOUNDVALUE(1915)</f>
        <v>288</v>
      </c>
      <c r="F19" s="45">
        <f>_xlfn.COMPOUNDVALUE(1851)</f>
        <v>301</v>
      </c>
      <c r="G19" s="45">
        <f>_xlfn.COMPOUNDVALUE(2191)</f>
        <v>9391</v>
      </c>
      <c r="H19" s="45">
        <f>_xlfn.COMPOUNDVALUE(2151)</f>
        <v>9374</v>
      </c>
      <c r="I19" s="49">
        <f>_xlfn.COMPOUNDVALUE(2192)</f>
        <v>17</v>
      </c>
    </row>
    <row r="20" spans="1:9" ht="11.25">
      <c r="A20" s="19" t="str">
        <f>_xlfn.COMPOUNDVALUE(195)</f>
        <v>Iles Sous-Le-Vent</v>
      </c>
      <c r="B20" s="44">
        <f>_xlfn.COMPOUNDVALUE(1993)</f>
        <v>11939</v>
      </c>
      <c r="C20" s="44">
        <f>_xlfn.COMPOUNDVALUE(1951)</f>
        <v>9572</v>
      </c>
      <c r="D20" s="44">
        <f>_xlfn.COMPOUNDVALUE(2023)</f>
        <v>194</v>
      </c>
      <c r="E20" s="44">
        <f>_xlfn.COMPOUNDVALUE(2067)</f>
        <v>1047</v>
      </c>
      <c r="F20" s="44">
        <f>_xlfn.COMPOUNDVALUE(1916)</f>
        <v>1126</v>
      </c>
      <c r="G20" s="44">
        <f>_xlfn.COMPOUNDVALUE(2224)</f>
        <v>34581</v>
      </c>
      <c r="H20" s="44">
        <f>_xlfn.COMPOUNDVALUE(2119)</f>
        <v>34472</v>
      </c>
      <c r="I20" s="48">
        <f>_xlfn.COMPOUNDVALUE(2139)</f>
        <v>109</v>
      </c>
    </row>
    <row r="21" spans="1:9" ht="11.25">
      <c r="A21" s="7" t="str">
        <f>_xlfn.COMPOUNDVALUE(118)</f>
        <v>Bora Bora</v>
      </c>
      <c r="B21" s="45">
        <f>_xlfn.COMPOUNDVALUE(1917)</f>
        <v>3153</v>
      </c>
      <c r="C21" s="45">
        <f>_xlfn.COMPOUNDVALUE(1880)</f>
        <v>2584</v>
      </c>
      <c r="D21" s="45">
        <f>_xlfn.COMPOUNDVALUE(1952)</f>
        <v>34</v>
      </c>
      <c r="E21" s="45">
        <f>_xlfn.COMPOUNDVALUE(2078)</f>
        <v>281</v>
      </c>
      <c r="F21" s="45">
        <f>_xlfn.COMPOUNDVALUE(1896)</f>
        <v>254</v>
      </c>
      <c r="G21" s="45">
        <f>_xlfn.COMPOUNDVALUE(2218)</f>
        <v>9598</v>
      </c>
      <c r="H21" s="45">
        <f>_xlfn.COMPOUNDVALUE(2152)</f>
        <v>9598</v>
      </c>
      <c r="I21" s="49">
        <f>_xlfn.COMPOUNDVALUE(2219)</f>
      </c>
    </row>
    <row r="22" spans="1:9" ht="11.25">
      <c r="A22" s="7" t="str">
        <f>_xlfn.COMPOUNDVALUE(116)</f>
        <v>Huahine</v>
      </c>
      <c r="B22" s="45">
        <f>_xlfn.COMPOUNDVALUE(1895)</f>
        <v>2299</v>
      </c>
      <c r="C22" s="45">
        <f>_xlfn.COMPOUNDVALUE(1953)</f>
        <v>1783</v>
      </c>
      <c r="D22" s="45">
        <f>_xlfn.COMPOUNDVALUE(2033)</f>
        <v>37</v>
      </c>
      <c r="E22" s="45">
        <f>_xlfn.COMPOUNDVALUE(2094)</f>
        <v>192</v>
      </c>
      <c r="F22" s="230">
        <f>_xlfn.COMPOUNDVALUE(1918)</f>
        <v>287</v>
      </c>
      <c r="G22" s="45">
        <f>_xlfn.COMPOUNDVALUE(2235)</f>
        <v>6303</v>
      </c>
      <c r="H22" s="45">
        <f>_xlfn.COMPOUNDVALUE(2118)</f>
        <v>6301</v>
      </c>
      <c r="I22" s="49">
        <f>_xlfn.COMPOUNDVALUE(2138)</f>
        <v>2</v>
      </c>
    </row>
    <row r="23" spans="1:9" ht="11.25">
      <c r="A23" s="7" t="str">
        <f>_xlfn.COMPOUNDVALUE(188)</f>
        <v>Maupiti</v>
      </c>
      <c r="B23" s="45">
        <f>_xlfn.COMPOUNDVALUE(1919)</f>
        <v>454</v>
      </c>
      <c r="C23" s="45">
        <f>_xlfn.COMPOUNDVALUE(1839)</f>
        <v>334</v>
      </c>
      <c r="D23" s="45">
        <f>_xlfn.COMPOUNDVALUE(1954)</f>
        <v>23</v>
      </c>
      <c r="E23" s="45">
        <f>_xlfn.COMPOUNDVALUE(2079)</f>
        <v>18</v>
      </c>
      <c r="F23" s="45">
        <f>_xlfn.COMPOUNDVALUE(1850)</f>
        <v>79</v>
      </c>
      <c r="G23" s="45">
        <f>_xlfn.COMPOUNDVALUE(2189)</f>
        <v>1223</v>
      </c>
      <c r="H23" s="45">
        <f>_xlfn.COMPOUNDVALUE(2153)</f>
        <v>1205</v>
      </c>
      <c r="I23" s="49">
        <f>_xlfn.COMPOUNDVALUE(2190)</f>
        <v>18</v>
      </c>
    </row>
    <row r="24" spans="1:9" ht="11.25">
      <c r="A24" s="7" t="str">
        <f>_xlfn.COMPOUNDVALUE(111)</f>
        <v>Tahaa</v>
      </c>
      <c r="B24" s="45">
        <f>_xlfn.COMPOUNDVALUE(1994)</f>
        <v>1946</v>
      </c>
      <c r="C24" s="45">
        <f>_xlfn.COMPOUNDVALUE(1955)</f>
        <v>1490</v>
      </c>
      <c r="D24" s="45">
        <f>_xlfn.COMPOUNDVALUE(2024)</f>
        <v>36</v>
      </c>
      <c r="E24" s="45">
        <f>_xlfn.COMPOUNDVALUE(2068)</f>
        <v>166</v>
      </c>
      <c r="F24" s="45">
        <f>_xlfn.COMPOUNDVALUE(1870)</f>
        <v>254</v>
      </c>
      <c r="G24" s="45">
        <f>_xlfn.COMPOUNDVALUE(2236)</f>
        <v>5220</v>
      </c>
      <c r="H24" s="45">
        <f>_xlfn.COMPOUNDVALUE(2117)</f>
        <v>5218</v>
      </c>
      <c r="I24" s="49">
        <f>_xlfn.COMPOUNDVALUE(2137)</f>
        <v>2</v>
      </c>
    </row>
    <row r="25" spans="1:9" ht="11.25">
      <c r="A25" s="7" t="str">
        <f>_xlfn.COMPOUNDVALUE(183)</f>
        <v>Taputapuatea</v>
      </c>
      <c r="B25" s="45">
        <f>_xlfn.COMPOUNDVALUE(2057)</f>
        <v>1613</v>
      </c>
      <c r="C25" s="45">
        <f>_xlfn.COMPOUNDVALUE(2056)</f>
        <v>1306</v>
      </c>
      <c r="D25" s="45">
        <f>_xlfn.COMPOUNDVALUE(1956)</f>
        <v>31</v>
      </c>
      <c r="E25" s="45">
        <f>_xlfn.COMPOUNDVALUE(1920)</f>
        <v>170</v>
      </c>
      <c r="F25" s="45">
        <f>_xlfn.COMPOUNDVALUE(2055)</f>
        <v>106</v>
      </c>
      <c r="G25" s="45">
        <f>_xlfn.COMPOUNDVALUE(2237)</f>
        <v>4791</v>
      </c>
      <c r="H25" s="45">
        <f>_xlfn.COMPOUNDVALUE(2154)</f>
        <v>4791</v>
      </c>
      <c r="I25" s="49">
        <f>_xlfn.COMPOUNDVALUE(2201)</f>
      </c>
    </row>
    <row r="26" spans="1:9" ht="11.25">
      <c r="A26" s="7" t="str">
        <f>_xlfn.COMPOUNDVALUE(181)</f>
        <v>Tumaraa</v>
      </c>
      <c r="B26" s="45">
        <f>_xlfn.COMPOUNDVALUE(1894)</f>
        <v>1330</v>
      </c>
      <c r="C26" s="45">
        <f>_xlfn.COMPOUNDVALUE(1957)</f>
        <v>1057</v>
      </c>
      <c r="D26" s="45">
        <f>_xlfn.COMPOUNDVALUE(2034)</f>
        <v>11</v>
      </c>
      <c r="E26" s="45">
        <f>_xlfn.COMPOUNDVALUE(2095)</f>
        <v>142</v>
      </c>
      <c r="F26" s="45">
        <f>_xlfn.COMPOUNDVALUE(1921)</f>
        <v>120</v>
      </c>
      <c r="G26" s="45">
        <f>_xlfn.COMPOUNDVALUE(2238)</f>
        <v>3756</v>
      </c>
      <c r="H26" s="45">
        <f>_xlfn.COMPOUNDVALUE(2116)</f>
        <v>3756</v>
      </c>
      <c r="I26" s="49">
        <f>_xlfn.COMPOUNDVALUE(2136)</f>
      </c>
    </row>
    <row r="27" spans="1:9" ht="11.25">
      <c r="A27" s="7" t="str">
        <f>_xlfn.COMPOUNDVALUE(102)</f>
        <v>Uturoa</v>
      </c>
      <c r="B27" s="45">
        <f>_xlfn.COMPOUNDVALUE(1922)</f>
        <v>1144</v>
      </c>
      <c r="C27" s="45">
        <f>_xlfn.COMPOUNDVALUE(1838)</f>
        <v>1018</v>
      </c>
      <c r="D27" s="45">
        <f>_xlfn.COMPOUNDVALUE(1958)</f>
        <v>22</v>
      </c>
      <c r="E27" s="45">
        <f>_xlfn.COMPOUNDVALUE(2080)</f>
        <v>78</v>
      </c>
      <c r="F27" s="45">
        <f>_xlfn.COMPOUNDVALUE(1849)</f>
        <v>26</v>
      </c>
      <c r="G27" s="45">
        <f>_xlfn.COMPOUNDVALUE(2187)</f>
        <v>3690</v>
      </c>
      <c r="H27" s="45">
        <f>_xlfn.COMPOUNDVALUE(2115)</f>
        <v>3603</v>
      </c>
      <c r="I27" s="49">
        <f>_xlfn.COMPOUNDVALUE(2188)</f>
        <v>87</v>
      </c>
    </row>
    <row r="28" spans="1:9" ht="11.25">
      <c r="A28" s="19" t="str">
        <f>_xlfn.COMPOUNDVALUE(178)</f>
        <v>Marquises</v>
      </c>
      <c r="B28" s="44">
        <f>_xlfn.COMPOUNDVALUE(2016)</f>
        <v>3305</v>
      </c>
      <c r="C28" s="44">
        <f>_xlfn.COMPOUNDVALUE(1959)</f>
        <v>2597</v>
      </c>
      <c r="D28" s="44">
        <f>_xlfn.COMPOUNDVALUE(2015)</f>
        <v>124</v>
      </c>
      <c r="E28" s="44">
        <f>_xlfn.COMPOUNDVALUE(2069)</f>
        <v>311</v>
      </c>
      <c r="F28" s="44">
        <f>_xlfn.COMPOUNDVALUE(1923)</f>
        <v>273</v>
      </c>
      <c r="G28" s="44">
        <f>_xlfn.COMPOUNDVALUE(2225)</f>
        <v>9261</v>
      </c>
      <c r="H28" s="44">
        <f>_xlfn.COMPOUNDVALUE(2155)</f>
        <v>9190</v>
      </c>
      <c r="I28" s="48">
        <f>_xlfn.COMPOUNDVALUE(2135)</f>
        <v>71</v>
      </c>
    </row>
    <row r="29" spans="1:9" ht="11.25">
      <c r="A29" s="7" t="str">
        <f>_xlfn.COMPOUNDVALUE(101)</f>
        <v>Fatu Hiva</v>
      </c>
      <c r="B29" s="45">
        <f>_xlfn.COMPOUNDVALUE(1924)</f>
        <v>203</v>
      </c>
      <c r="C29" s="45">
        <f>_xlfn.COMPOUNDVALUE(1879)</f>
        <v>166</v>
      </c>
      <c r="D29" s="45">
        <f>_xlfn.COMPOUNDVALUE(1960)</f>
        <v>1</v>
      </c>
      <c r="E29" s="45">
        <f>_xlfn.COMPOUNDVALUE(2081)</f>
        <v>6</v>
      </c>
      <c r="F29" s="45">
        <f>_xlfn.COMPOUNDVALUE(1893)</f>
        <v>30</v>
      </c>
      <c r="G29" s="45">
        <f>_xlfn.COMPOUNDVALUE(2216)</f>
        <v>611</v>
      </c>
      <c r="H29" s="45">
        <f>_xlfn.COMPOUNDVALUE(2215)</f>
        <v>611</v>
      </c>
      <c r="I29" s="49">
        <f>_xlfn.COMPOUNDVALUE(2217)</f>
      </c>
    </row>
    <row r="30" spans="1:9" ht="11.25">
      <c r="A30" s="7" t="str">
        <f>_xlfn.COMPOUNDVALUE(177)</f>
        <v>Hiva Oa</v>
      </c>
      <c r="B30" s="45">
        <f>_xlfn.COMPOUNDVALUE(1892)</f>
        <v>786</v>
      </c>
      <c r="C30" s="45">
        <f>_xlfn.COMPOUNDVALUE(1961)</f>
        <v>643</v>
      </c>
      <c r="D30" s="45">
        <f>_xlfn.COMPOUNDVALUE(2035)</f>
        <v>36</v>
      </c>
      <c r="E30" s="45">
        <f>_xlfn.COMPOUNDVALUE(2096)</f>
        <v>56</v>
      </c>
      <c r="F30" s="45">
        <f>_xlfn.COMPOUNDVALUE(1925)</f>
        <v>51</v>
      </c>
      <c r="G30" s="45">
        <f>_xlfn.COMPOUNDVALUE(2259)</f>
        <v>2184</v>
      </c>
      <c r="H30" s="45">
        <f>_xlfn.COMPOUNDVALUE(2156)</f>
        <v>2140</v>
      </c>
      <c r="I30" s="49">
        <f>_xlfn.COMPOUNDVALUE(2258)</f>
        <v>44</v>
      </c>
    </row>
    <row r="31" spans="1:9" ht="11.25">
      <c r="A31" s="7" t="str">
        <f>_xlfn.COMPOUNDVALUE(99)</f>
        <v>Nuku Hiva</v>
      </c>
      <c r="B31" s="45">
        <f>_xlfn.COMPOUNDVALUE(1926)</f>
        <v>1134</v>
      </c>
      <c r="C31" s="45">
        <f>_xlfn.COMPOUNDVALUE(1837)</f>
        <v>862</v>
      </c>
      <c r="D31" s="45">
        <f>_xlfn.COMPOUNDVALUE(1962)</f>
        <v>39</v>
      </c>
      <c r="E31" s="45">
        <f>_xlfn.COMPOUNDVALUE(2082)</f>
        <v>133</v>
      </c>
      <c r="F31" s="45">
        <f>_xlfn.COMPOUNDVALUE(1848)</f>
        <v>100</v>
      </c>
      <c r="G31" s="45">
        <f>_xlfn.COMPOUNDVALUE(2185)</f>
        <v>2967</v>
      </c>
      <c r="H31" s="45">
        <f>_xlfn.COMPOUNDVALUE(2114)</f>
        <v>2941</v>
      </c>
      <c r="I31" s="49">
        <f>_xlfn.COMPOUNDVALUE(2186)</f>
        <v>26</v>
      </c>
    </row>
    <row r="32" spans="1:9" ht="11.25">
      <c r="A32" s="7" t="str">
        <f>_xlfn.COMPOUNDVALUE(97)</f>
        <v>Tahuata</v>
      </c>
      <c r="B32" s="45">
        <f>_xlfn.COMPOUNDVALUE(1995)</f>
        <v>213</v>
      </c>
      <c r="C32" s="45">
        <f>_xlfn.COMPOUNDVALUE(1963)</f>
        <v>170</v>
      </c>
      <c r="D32" s="45">
        <f>_xlfn.COMPOUNDVALUE(2025)</f>
        <v>6</v>
      </c>
      <c r="E32" s="45">
        <f>_xlfn.COMPOUNDVALUE(2070)</f>
        <v>13</v>
      </c>
      <c r="F32" s="45">
        <f>_xlfn.COMPOUNDVALUE(1869)</f>
        <v>24</v>
      </c>
      <c r="G32" s="45">
        <f>_xlfn.COMPOUNDVALUE(2226)</f>
        <v>703</v>
      </c>
      <c r="H32" s="45">
        <f>_xlfn.COMPOUNDVALUE(2157)</f>
        <v>703</v>
      </c>
      <c r="I32" s="49">
        <f>_xlfn.COMPOUNDVALUE(2134)</f>
      </c>
    </row>
    <row r="33" spans="1:9" ht="11.25">
      <c r="A33" s="7" t="str">
        <f>_xlfn.COMPOUNDVALUE(173)</f>
        <v>Ua Huka</v>
      </c>
      <c r="B33" s="45">
        <f>_xlfn.COMPOUNDVALUE(1928)</f>
        <v>224</v>
      </c>
      <c r="C33" s="45">
        <f>_xlfn.COMPOUNDVALUE(2054)</f>
        <v>167</v>
      </c>
      <c r="D33" s="45">
        <f>_xlfn.COMPOUNDVALUE(1964)</f>
        <v>13</v>
      </c>
      <c r="E33" s="45">
        <f>_xlfn.COMPOUNDVALUE(1927)</f>
        <v>22</v>
      </c>
      <c r="F33" s="45">
        <f>_xlfn.COMPOUNDVALUE(2053)</f>
        <v>22</v>
      </c>
      <c r="G33" s="45">
        <f>_xlfn.COMPOUNDVALUE(2239)</f>
        <v>621</v>
      </c>
      <c r="H33" s="45">
        <f>_xlfn.COMPOUNDVALUE(2113)</f>
        <v>621</v>
      </c>
      <c r="I33" s="49">
        <f>_xlfn.COMPOUNDVALUE(2202)</f>
      </c>
    </row>
    <row r="34" spans="1:9" ht="11.25">
      <c r="A34" s="7" t="str">
        <f>_xlfn.COMPOUNDVALUE(96)</f>
        <v>Ua Pou</v>
      </c>
      <c r="B34" s="45">
        <f>_xlfn.COMPOUNDVALUE(1891)</f>
        <v>745</v>
      </c>
      <c r="C34" s="45">
        <f>_xlfn.COMPOUNDVALUE(1965)</f>
        <v>589</v>
      </c>
      <c r="D34" s="45">
        <f>_xlfn.COMPOUNDVALUE(2036)</f>
        <v>29</v>
      </c>
      <c r="E34" s="45">
        <f>_xlfn.COMPOUNDVALUE(2097)</f>
        <v>81</v>
      </c>
      <c r="F34" s="45">
        <f>_xlfn.COMPOUNDVALUE(1868)</f>
        <v>46</v>
      </c>
      <c r="G34" s="45">
        <f>_xlfn.COMPOUNDVALUE(2240)</f>
        <v>2175</v>
      </c>
      <c r="H34" s="45">
        <f>_xlfn.COMPOUNDVALUE(2158)</f>
        <v>2174</v>
      </c>
      <c r="I34" s="49">
        <f>_xlfn.COMPOUNDVALUE(2133)</f>
        <v>1</v>
      </c>
    </row>
    <row r="35" spans="1:9" ht="11.25">
      <c r="A35" s="19" t="str">
        <f>_xlfn.COMPOUNDVALUE(171)</f>
        <v>Australes</v>
      </c>
      <c r="B35" s="44">
        <f>_xlfn.COMPOUNDVALUE(1929)</f>
        <v>2319</v>
      </c>
      <c r="C35" s="44">
        <f>_xlfn.COMPOUNDVALUE(1836)</f>
        <v>1837</v>
      </c>
      <c r="D35" s="44">
        <f>_xlfn.COMPOUNDVALUE(1966)</f>
        <v>5</v>
      </c>
      <c r="E35" s="44">
        <f>_xlfn.COMPOUNDVALUE(2083)</f>
        <v>151</v>
      </c>
      <c r="F35" s="44">
        <f>_xlfn.COMPOUNDVALUE(1847)</f>
        <v>326</v>
      </c>
      <c r="G35" s="44">
        <f>_xlfn.COMPOUNDVALUE(2183)</f>
        <v>6820</v>
      </c>
      <c r="H35" s="44">
        <f>_xlfn.COMPOUNDVALUE(2112)</f>
        <v>6739</v>
      </c>
      <c r="I35" s="48">
        <f>_xlfn.COMPOUNDVALUE(2184)</f>
        <v>81</v>
      </c>
    </row>
    <row r="36" spans="1:9" ht="11.25">
      <c r="A36" s="7" t="str">
        <f>_xlfn.COMPOUNDVALUE(94)</f>
        <v>Raivavae</v>
      </c>
      <c r="B36" s="45">
        <f>_xlfn.COMPOUNDVALUE(2014)</f>
        <v>318</v>
      </c>
      <c r="C36" s="45">
        <f>_xlfn.COMPOUNDVALUE(1967)</f>
        <v>237</v>
      </c>
      <c r="D36" s="45">
        <f>_xlfn.COMPOUNDVALUE(2013)</f>
      </c>
      <c r="E36" s="45">
        <f>_xlfn.COMPOUNDVALUE(2071)</f>
        <v>29</v>
      </c>
      <c r="F36" s="45">
        <f>_xlfn.COMPOUNDVALUE(1930)</f>
        <v>52</v>
      </c>
      <c r="G36" s="45">
        <f>_xlfn.COMPOUNDVALUE(2241)</f>
        <v>940</v>
      </c>
      <c r="H36" s="45">
        <f>_xlfn.COMPOUNDVALUE(2159)</f>
        <v>940</v>
      </c>
      <c r="I36" s="49">
        <f>_xlfn.COMPOUNDVALUE(2132)</f>
      </c>
    </row>
    <row r="37" spans="1:9" ht="11.25">
      <c r="A37" s="7" t="str">
        <f>_xlfn.COMPOUNDVALUE(92)</f>
        <v>Rapa</v>
      </c>
      <c r="B37" s="45">
        <f>_xlfn.COMPOUNDVALUE(1931)</f>
        <v>178</v>
      </c>
      <c r="C37" s="45">
        <f>_xlfn.COMPOUNDVALUE(1878)</f>
        <v>132</v>
      </c>
      <c r="D37" s="45">
        <f>_xlfn.COMPOUNDVALUE(1968)</f>
        <v>1</v>
      </c>
      <c r="E37" s="45">
        <f>_xlfn.COMPOUNDVALUE(2084)</f>
        <v>6</v>
      </c>
      <c r="F37" s="45">
        <f>_xlfn.COMPOUNDVALUE(1890)</f>
        <v>39</v>
      </c>
      <c r="G37" s="45">
        <f>_xlfn.COMPOUNDVALUE(2213)</f>
        <v>515</v>
      </c>
      <c r="H37" s="45">
        <f>_xlfn.COMPOUNDVALUE(2212)</f>
        <v>515</v>
      </c>
      <c r="I37" s="49">
        <f>_xlfn.COMPOUNDVALUE(2214)</f>
      </c>
    </row>
    <row r="38" spans="1:9" ht="11.25">
      <c r="A38" s="7" t="str">
        <f>_xlfn.COMPOUNDVALUE(168)</f>
        <v>Rimatara</v>
      </c>
      <c r="B38" s="45">
        <f>_xlfn.COMPOUNDVALUE(1889)</f>
        <v>253</v>
      </c>
      <c r="C38" s="45">
        <f>_xlfn.COMPOUNDVALUE(1969)</f>
        <v>220</v>
      </c>
      <c r="D38" s="45">
        <f>_xlfn.COMPOUNDVALUE(2037)</f>
        <v>1</v>
      </c>
      <c r="E38" s="45">
        <f>_xlfn.COMPOUNDVALUE(2098)</f>
        <v>20</v>
      </c>
      <c r="F38" s="45">
        <f>_xlfn.COMPOUNDVALUE(1867)</f>
        <v>12</v>
      </c>
      <c r="G38" s="45">
        <f>_xlfn.COMPOUNDVALUE(2257)</f>
        <v>873</v>
      </c>
      <c r="H38" s="45">
        <f>_xlfn.COMPOUNDVALUE(2160)</f>
        <v>873</v>
      </c>
      <c r="I38" s="49">
        <f>_xlfn.COMPOUNDVALUE(2256)</f>
      </c>
    </row>
    <row r="39" spans="1:9" ht="11.25">
      <c r="A39" s="7" t="str">
        <f>_xlfn.COMPOUNDVALUE(166)</f>
        <v>Rurutu</v>
      </c>
      <c r="B39" s="45">
        <f>_xlfn.COMPOUNDVALUE(1933)</f>
        <v>748</v>
      </c>
      <c r="C39" s="45">
        <f>_xlfn.COMPOUNDVALUE(2004)</f>
        <v>600</v>
      </c>
      <c r="D39" s="45">
        <f>_xlfn.COMPOUNDVALUE(1970)</f>
        <v>2</v>
      </c>
      <c r="E39" s="45">
        <f>_xlfn.COMPOUNDVALUE(1932)</f>
        <v>45</v>
      </c>
      <c r="F39" s="45">
        <f>_xlfn.COMPOUNDVALUE(2003)</f>
        <v>101</v>
      </c>
      <c r="G39" s="45">
        <f>_xlfn.COMPOUNDVALUE(2181)</f>
        <v>2322</v>
      </c>
      <c r="H39" s="45">
        <f>_xlfn.COMPOUNDVALUE(2111)</f>
        <v>2315</v>
      </c>
      <c r="I39" s="49">
        <f>_xlfn.COMPOUNDVALUE(2182)</f>
        <v>7</v>
      </c>
    </row>
    <row r="40" spans="1:9" ht="11.25">
      <c r="A40" s="7" t="str">
        <f>_xlfn.COMPOUNDVALUE(164)</f>
        <v>Tubuai</v>
      </c>
      <c r="B40" s="45">
        <f>_xlfn.COMPOUNDVALUE(1996)</f>
        <v>822</v>
      </c>
      <c r="C40" s="45">
        <f>_xlfn.COMPOUNDVALUE(1971)</f>
        <v>648</v>
      </c>
      <c r="D40" s="45">
        <f>_xlfn.COMPOUNDVALUE(2026)</f>
        <v>1</v>
      </c>
      <c r="E40" s="45">
        <f>_xlfn.COMPOUNDVALUE(2072)</f>
        <v>51</v>
      </c>
      <c r="F40" s="45">
        <f>_xlfn.COMPOUNDVALUE(1866)</f>
        <v>122</v>
      </c>
      <c r="G40" s="45">
        <f>_xlfn.COMPOUNDVALUE(2227)</f>
        <v>2170</v>
      </c>
      <c r="H40" s="45">
        <f>_xlfn.COMPOUNDVALUE(2161)</f>
        <v>2096</v>
      </c>
      <c r="I40" s="49">
        <f>_xlfn.COMPOUNDVALUE(2131)</f>
        <v>74</v>
      </c>
    </row>
    <row r="41" spans="1:9" ht="11.25">
      <c r="A41" s="19" t="str">
        <f>_xlfn.COMPOUNDVALUE(162)</f>
        <v>Tuamotu-Gambier</v>
      </c>
      <c r="B41" s="44">
        <f>_xlfn.COMPOUNDVALUE(2052)</f>
        <v>6250</v>
      </c>
      <c r="C41" s="44">
        <f>_xlfn.COMPOUNDVALUE(2051)</f>
        <v>4681</v>
      </c>
      <c r="D41" s="44">
        <f>_xlfn.COMPOUNDVALUE(1972)</f>
        <v>230</v>
      </c>
      <c r="E41" s="44">
        <f>_xlfn.COMPOUNDVALUE(1934)</f>
        <v>725</v>
      </c>
      <c r="F41" s="44">
        <f>_xlfn.COMPOUNDVALUE(2050)</f>
        <v>614</v>
      </c>
      <c r="G41" s="44">
        <f>_xlfn.COMPOUNDVALUE(2242)</f>
        <v>16831</v>
      </c>
      <c r="H41" s="44">
        <f>_xlfn.COMPOUNDVALUE(2110)</f>
        <v>16398</v>
      </c>
      <c r="I41" s="48">
        <f>_xlfn.COMPOUNDVALUE(2203)</f>
        <v>433</v>
      </c>
    </row>
    <row r="42" spans="1:9" ht="11.25">
      <c r="A42" s="7" t="str">
        <f>_xlfn.COMPOUNDVALUE(85)</f>
        <v>Anaa</v>
      </c>
      <c r="B42" s="45">
        <f>_xlfn.COMPOUNDVALUE(1888)</f>
        <v>293</v>
      </c>
      <c r="C42" s="45">
        <f>_xlfn.COMPOUNDVALUE(1973)</f>
        <v>213</v>
      </c>
      <c r="D42" s="45">
        <f>_xlfn.COMPOUNDVALUE(2038)</f>
        <v>2</v>
      </c>
      <c r="E42" s="45">
        <f>_xlfn.COMPOUNDVALUE(2099)</f>
        <v>36</v>
      </c>
      <c r="F42" s="45">
        <f>_xlfn.COMPOUNDVALUE(1865)</f>
        <v>42</v>
      </c>
      <c r="G42" s="45">
        <f>_xlfn.COMPOUNDVALUE(2243)</f>
        <v>898</v>
      </c>
      <c r="H42" s="45">
        <f>_xlfn.COMPOUNDVALUE(2162)</f>
        <v>898</v>
      </c>
      <c r="I42" s="49">
        <f>_xlfn.COMPOUNDVALUE(2130)</f>
      </c>
    </row>
    <row r="43" spans="1:9" ht="11.25">
      <c r="A43" s="7" t="str">
        <f>_xlfn.COMPOUNDVALUE(160)</f>
        <v>Arutua</v>
      </c>
      <c r="B43" s="45">
        <f>_xlfn.COMPOUNDVALUE(1864)</f>
        <v>603</v>
      </c>
      <c r="C43" s="45">
        <f>_xlfn.COMPOUNDVALUE(1835)</f>
        <v>427</v>
      </c>
      <c r="D43" s="45">
        <f>_xlfn.COMPOUNDVALUE(1974)</f>
        <v>51</v>
      </c>
      <c r="E43" s="45">
        <f>_xlfn.COMPOUNDVALUE(1935)</f>
        <v>15</v>
      </c>
      <c r="F43" s="45">
        <f>_xlfn.COMPOUNDVALUE(1846)</f>
        <v>110</v>
      </c>
      <c r="G43" s="45">
        <f>_xlfn.COMPOUNDVALUE(2179)</f>
        <v>1505</v>
      </c>
      <c r="H43" s="45">
        <f>_xlfn.COMPOUNDVALUE(2109)</f>
        <v>1489</v>
      </c>
      <c r="I43" s="49">
        <f>_xlfn.COMPOUNDVALUE(2180)</f>
        <v>16</v>
      </c>
    </row>
    <row r="44" spans="1:9" ht="11.25">
      <c r="A44" s="7" t="str">
        <f>_xlfn.COMPOUNDVALUE(158)</f>
        <v>Fakarava</v>
      </c>
      <c r="B44" s="45">
        <f>_xlfn.COMPOUNDVALUE(2012)</f>
        <v>631</v>
      </c>
      <c r="C44" s="45">
        <f>_xlfn.COMPOUNDVALUE(1975)</f>
        <v>482</v>
      </c>
      <c r="D44" s="45">
        <f>_xlfn.COMPOUNDVALUE(2010)</f>
        <v>20</v>
      </c>
      <c r="E44" s="45">
        <f>_xlfn.COMPOUNDVALUE(2073)</f>
        <v>83</v>
      </c>
      <c r="F44" s="45">
        <f>_xlfn.COMPOUNDVALUE(2011)</f>
        <v>46</v>
      </c>
      <c r="G44" s="45">
        <f>_xlfn.COMPOUNDVALUE(2228)</f>
        <v>1581</v>
      </c>
      <c r="H44" s="45">
        <f>_xlfn.COMPOUNDVALUE(2163)</f>
        <v>1557</v>
      </c>
      <c r="I44" s="49">
        <f>_xlfn.COMPOUNDVALUE(2129)</f>
        <v>24</v>
      </c>
    </row>
    <row r="45" spans="1:9" ht="11.25">
      <c r="A45" s="7" t="str">
        <f>_xlfn.COMPOUNDVALUE(156)</f>
        <v>Fangatau</v>
      </c>
      <c r="B45" s="45">
        <f>_xlfn.COMPOUNDVALUE(1863)</f>
        <v>142</v>
      </c>
      <c r="C45" s="45">
        <f>_xlfn.COMPOUNDVALUE(1877)</f>
        <v>103</v>
      </c>
      <c r="D45" s="45">
        <f>_xlfn.COMPOUNDVALUE(1976)</f>
        <v>7</v>
      </c>
      <c r="E45" s="45">
        <f>_xlfn.COMPOUNDVALUE(2085)</f>
        <v>21</v>
      </c>
      <c r="F45" s="45">
        <f>_xlfn.COMPOUNDVALUE(1887)</f>
        <v>11</v>
      </c>
      <c r="G45" s="45">
        <f>_xlfn.COMPOUNDVALUE(2210)</f>
        <v>300</v>
      </c>
      <c r="H45" s="45">
        <f>_xlfn.COMPOUNDVALUE(2209)</f>
        <v>300</v>
      </c>
      <c r="I45" s="49">
        <f>_xlfn.COMPOUNDVALUE(2211)</f>
      </c>
    </row>
    <row r="46" spans="1:9" ht="11.25">
      <c r="A46" s="7" t="str">
        <f>_xlfn.COMPOUNDVALUE(78)</f>
        <v>Gambier</v>
      </c>
      <c r="B46" s="45">
        <f>_xlfn.COMPOUNDVALUE(1886)</f>
        <v>453</v>
      </c>
      <c r="C46" s="45">
        <f>_xlfn.COMPOUNDVALUE(1977)</f>
        <v>407</v>
      </c>
      <c r="D46" s="45">
        <f>_xlfn.COMPOUNDVALUE(2039)</f>
        <v>6</v>
      </c>
      <c r="E46" s="45">
        <f>_xlfn.COMPOUNDVALUE(2100)</f>
        <v>28</v>
      </c>
      <c r="F46" s="45">
        <f>_xlfn.COMPOUNDVALUE(1862)</f>
        <v>12</v>
      </c>
      <c r="G46" s="45">
        <f>_xlfn.COMPOUNDVALUE(2255)</f>
        <v>1421</v>
      </c>
      <c r="H46" s="45">
        <f>_xlfn.COMPOUNDVALUE(2254)</f>
        <v>1376</v>
      </c>
      <c r="I46" s="49">
        <f>_xlfn.COMPOUNDVALUE(2253)</f>
        <v>45</v>
      </c>
    </row>
    <row r="47" spans="1:9" ht="11.25">
      <c r="A47" s="7" t="str">
        <f>_xlfn.COMPOUNDVALUE(154)</f>
        <v>Hao</v>
      </c>
      <c r="B47" s="45">
        <f>_xlfn.COMPOUNDVALUE(1861)</f>
        <v>441</v>
      </c>
      <c r="C47" s="45">
        <f>_xlfn.COMPOUNDVALUE(1876)</f>
        <v>344</v>
      </c>
      <c r="D47" s="45">
        <f>_xlfn.COMPOUNDVALUE(1978)</f>
        <v>8</v>
      </c>
      <c r="E47" s="45">
        <f>_xlfn.COMPOUNDVALUE(2086)</f>
        <v>73</v>
      </c>
      <c r="F47" s="45">
        <f>_xlfn.COMPOUNDVALUE(1845)</f>
        <v>16</v>
      </c>
      <c r="G47" s="45">
        <f>_xlfn.COMPOUNDVALUE(2177)</f>
        <v>1317</v>
      </c>
      <c r="H47" s="45">
        <f>_xlfn.COMPOUNDVALUE(2164)</f>
        <v>1271</v>
      </c>
      <c r="I47" s="49">
        <f>_xlfn.COMPOUNDVALUE(2178)</f>
        <v>46</v>
      </c>
    </row>
    <row r="48" spans="1:9" ht="11.25">
      <c r="A48" s="7" t="str">
        <f>_xlfn.COMPOUNDVALUE(152)</f>
        <v>Hikueru</v>
      </c>
      <c r="B48" s="45">
        <f>_xlfn.COMPOUNDVALUE(1997)</f>
        <v>90</v>
      </c>
      <c r="C48" s="45">
        <f>_xlfn.COMPOUNDVALUE(1979)</f>
        <v>65</v>
      </c>
      <c r="D48" s="45">
        <f>_xlfn.COMPOUNDVALUE(2028)</f>
      </c>
      <c r="E48" s="45">
        <f>_xlfn.COMPOUNDVALUE(2074)</f>
        <v>10</v>
      </c>
      <c r="F48" s="45">
        <f>_xlfn.COMPOUNDVALUE(1860)</f>
        <v>15</v>
      </c>
      <c r="G48" s="45">
        <f>_xlfn.COMPOUNDVALUE(2244)</f>
        <v>241</v>
      </c>
      <c r="H48" s="45">
        <f>_xlfn.COMPOUNDVALUE(2108)</f>
        <v>241</v>
      </c>
      <c r="I48" s="49">
        <f>_xlfn.COMPOUNDVALUE(2128)</f>
      </c>
    </row>
    <row r="49" spans="1:9" ht="11.25">
      <c r="A49" s="7" t="str">
        <f>_xlfn.COMPOUNDVALUE(74)</f>
        <v>Makemo</v>
      </c>
      <c r="B49" s="45">
        <f>_xlfn.COMPOUNDVALUE(2048)</f>
        <v>543</v>
      </c>
      <c r="C49" s="45">
        <f>_xlfn.COMPOUNDVALUE(2049)</f>
        <v>408</v>
      </c>
      <c r="D49" s="45">
        <f>_xlfn.COMPOUNDVALUE(1980)</f>
        <v>10</v>
      </c>
      <c r="E49" s="45">
        <f>_xlfn.COMPOUNDVALUE(2047)</f>
        <v>86</v>
      </c>
      <c r="F49" s="45">
        <f>_xlfn.COMPOUNDVALUE(2046)</f>
        <v>39</v>
      </c>
      <c r="G49" s="45">
        <f>_xlfn.COMPOUNDVALUE(2245)</f>
        <v>1555</v>
      </c>
      <c r="H49" s="45">
        <f>_xlfn.COMPOUNDVALUE(2165)</f>
        <v>1495</v>
      </c>
      <c r="I49" s="49">
        <f>_xlfn.COMPOUNDVALUE(2204)</f>
        <v>60</v>
      </c>
    </row>
    <row r="50" spans="1:9" ht="11.25">
      <c r="A50" s="7" t="str">
        <f>_xlfn.COMPOUNDVALUE(148)</f>
        <v>Manihi</v>
      </c>
      <c r="B50" s="45">
        <f>_xlfn.COMPOUNDVALUE(1885)</f>
        <v>441</v>
      </c>
      <c r="C50" s="45">
        <f>_xlfn.COMPOUNDVALUE(1981)</f>
        <v>327</v>
      </c>
      <c r="D50" s="45">
        <f>_xlfn.COMPOUNDVALUE(2027)</f>
        <v>24</v>
      </c>
      <c r="E50" s="45">
        <f>_xlfn.COMPOUNDVALUE(2101)</f>
        <v>51</v>
      </c>
      <c r="F50" s="45">
        <f>_xlfn.COMPOUNDVALUE(1859)</f>
        <v>39</v>
      </c>
      <c r="G50" s="45">
        <f>_xlfn.COMPOUNDVALUE(2246)</f>
        <v>1237</v>
      </c>
      <c r="H50" s="45">
        <f>_xlfn.COMPOUNDVALUE(2107)</f>
        <v>1106</v>
      </c>
      <c r="I50" s="49">
        <f>_xlfn.COMPOUNDVALUE(2127)</f>
        <v>131</v>
      </c>
    </row>
    <row r="51" spans="1:9" ht="11.25">
      <c r="A51" s="7" t="str">
        <f>_xlfn.COMPOUNDVALUE(70)</f>
        <v>Napuka</v>
      </c>
      <c r="B51" s="45">
        <f>_xlfn.COMPOUNDVALUE(1858)</f>
        <v>132</v>
      </c>
      <c r="C51" s="45">
        <f>_xlfn.COMPOUNDVALUE(1875)</f>
        <v>104</v>
      </c>
      <c r="D51" s="45">
        <f>_xlfn.COMPOUNDVALUE(1982)</f>
      </c>
      <c r="E51" s="45">
        <f>_xlfn.COMPOUNDVALUE(2087)</f>
        <v>15</v>
      </c>
      <c r="F51" s="45">
        <f>_xlfn.COMPOUNDVALUE(1844)</f>
        <v>13</v>
      </c>
      <c r="G51" s="45">
        <f>_xlfn.COMPOUNDVALUE(2175)</f>
        <v>360</v>
      </c>
      <c r="H51" s="45">
        <f>_xlfn.COMPOUNDVALUE(2166)</f>
        <v>360</v>
      </c>
      <c r="I51" s="49">
        <f>_xlfn.COMPOUNDVALUE(2176)</f>
      </c>
    </row>
    <row r="52" spans="1:9" ht="11.25">
      <c r="A52" s="7" t="str">
        <f>_xlfn.COMPOUNDVALUE(145)</f>
        <v>Nukutavake</v>
      </c>
      <c r="B52" s="45">
        <f>_xlfn.COMPOUNDVALUE(1998)</f>
        <v>106</v>
      </c>
      <c r="C52" s="45">
        <f>_xlfn.COMPOUNDVALUE(1983)</f>
        <v>94</v>
      </c>
      <c r="D52" s="45">
        <f>_xlfn.COMPOUNDVALUE(1991)</f>
        <v>1</v>
      </c>
      <c r="E52" s="45">
        <f>_xlfn.COMPOUNDVALUE(2075)</f>
        <v>11</v>
      </c>
      <c r="F52" s="45">
        <f>_xlfn.COMPOUNDVALUE(1857)</f>
      </c>
      <c r="G52" s="45">
        <f>_xlfn.COMPOUNDVALUE(2229)</f>
        <v>350</v>
      </c>
      <c r="H52" s="45">
        <f>_xlfn.COMPOUNDVALUE(2106)</f>
        <v>350</v>
      </c>
      <c r="I52" s="49">
        <f>_xlfn.COMPOUNDVALUE(2126)</f>
      </c>
    </row>
    <row r="53" spans="1:9" ht="11.25">
      <c r="A53" s="7" t="str">
        <f>_xlfn.COMPOUNDVALUE(143)</f>
        <v>Pukapuka</v>
      </c>
      <c r="B53" s="45">
        <f>_xlfn.COMPOUNDVALUE(1856)</f>
        <v>45</v>
      </c>
      <c r="C53" s="45">
        <f>_xlfn.COMPOUNDVALUE(1874)</f>
        <v>43</v>
      </c>
      <c r="D53" s="45">
        <f>_xlfn.COMPOUNDVALUE(1984)</f>
      </c>
      <c r="E53" s="45">
        <f>_xlfn.COMPOUNDVALUE(2088)</f>
        <v>2</v>
      </c>
      <c r="F53" s="45">
        <f>_xlfn.COMPOUNDVALUE(1884)</f>
      </c>
      <c r="G53" s="45">
        <f>_xlfn.COMPOUNDVALUE(2207)</f>
        <v>166</v>
      </c>
      <c r="H53" s="45">
        <f>_xlfn.COMPOUNDVALUE(2167)</f>
        <v>166</v>
      </c>
      <c r="I53" s="49">
        <f>_xlfn.COMPOUNDVALUE(2208)</f>
      </c>
    </row>
    <row r="54" spans="1:9" ht="11.25">
      <c r="A54" s="7" t="str">
        <f>_xlfn.COMPOUNDVALUE(66)</f>
        <v>Rangiroa</v>
      </c>
      <c r="B54" s="45">
        <f>_xlfn.COMPOUNDVALUE(1883)</f>
        <v>1406</v>
      </c>
      <c r="C54" s="45">
        <f>_xlfn.COMPOUNDVALUE(1985)</f>
        <v>1003</v>
      </c>
      <c r="D54" s="45">
        <f>_xlfn.COMPOUNDVALUE(2040)</f>
        <v>51</v>
      </c>
      <c r="E54" s="45">
        <f>_xlfn.COMPOUNDVALUE(2102)</f>
        <v>173</v>
      </c>
      <c r="F54" s="45">
        <f>_xlfn.COMPOUNDVALUE(1855)</f>
        <v>179</v>
      </c>
      <c r="G54" s="45">
        <f>_xlfn.COMPOUNDVALUE(2252)</f>
        <v>3444</v>
      </c>
      <c r="H54" s="45">
        <f>_xlfn.COMPOUNDVALUE(2251)</f>
        <v>3417</v>
      </c>
      <c r="I54" s="49">
        <f>_xlfn.COMPOUNDVALUE(2250)</f>
        <v>27</v>
      </c>
    </row>
    <row r="55" spans="1:9" ht="11.25">
      <c r="A55" s="7" t="str">
        <f>_xlfn.COMPOUNDVALUE(140)</f>
        <v>Reao</v>
      </c>
      <c r="B55" s="45">
        <f>_xlfn.COMPOUNDVALUE(1936)</f>
        <v>234</v>
      </c>
      <c r="C55" s="45">
        <f>_xlfn.COMPOUNDVALUE(1834)</f>
        <v>154</v>
      </c>
      <c r="D55" s="45">
        <f>_xlfn.COMPOUNDVALUE(1986)</f>
        <v>15</v>
      </c>
      <c r="E55" s="45">
        <f>_xlfn.COMPOUNDVALUE(2089)</f>
        <v>37</v>
      </c>
      <c r="F55" s="45">
        <f>_xlfn.COMPOUNDVALUE(1843)</f>
        <v>28</v>
      </c>
      <c r="G55" s="45">
        <f>_xlfn.COMPOUNDVALUE(2173)</f>
        <v>606</v>
      </c>
      <c r="H55" s="45">
        <f>_xlfn.COMPOUNDVALUE(2168)</f>
        <v>606</v>
      </c>
      <c r="I55" s="49">
        <f>_xlfn.COMPOUNDVALUE(2174)</f>
      </c>
    </row>
    <row r="56" spans="1:9" ht="11.25">
      <c r="A56" s="7" t="str">
        <f>_xlfn.COMPOUNDVALUE(62)</f>
        <v>Takaroa</v>
      </c>
      <c r="B56" s="45">
        <f>_xlfn.COMPOUNDVALUE(2008)</f>
        <v>496</v>
      </c>
      <c r="C56" s="45">
        <f>_xlfn.COMPOUNDVALUE(1987)</f>
        <v>343</v>
      </c>
      <c r="D56" s="45">
        <f>_xlfn.COMPOUNDVALUE(2009)</f>
        <v>31</v>
      </c>
      <c r="E56" s="45">
        <f>_xlfn.COMPOUNDVALUE(2076)</f>
        <v>70</v>
      </c>
      <c r="F56" s="45">
        <f>_xlfn.COMPOUNDVALUE(2007)</f>
        <v>52</v>
      </c>
      <c r="G56" s="45">
        <f>_xlfn.COMPOUNDVALUE(2247)</f>
        <v>1262</v>
      </c>
      <c r="H56" s="45">
        <f>_xlfn.COMPOUNDVALUE(2105)</f>
        <v>1178</v>
      </c>
      <c r="I56" s="49">
        <f>_xlfn.COMPOUNDVALUE(2205)</f>
        <v>84</v>
      </c>
    </row>
    <row r="57" spans="1:9" ht="11.25">
      <c r="A57" s="7" t="str">
        <f>_xlfn.COMPOUNDVALUE(137)</f>
        <v>Tatakoto</v>
      </c>
      <c r="B57" s="45">
        <f>_xlfn.COMPOUNDVALUE(2044)</f>
        <v>99</v>
      </c>
      <c r="C57" s="45">
        <f>_xlfn.COMPOUNDVALUE(2045)</f>
        <v>89</v>
      </c>
      <c r="D57" s="45">
        <f>_xlfn.COMPOUNDVALUE(1988)</f>
        <v>2</v>
      </c>
      <c r="E57" s="45">
        <f>_xlfn.COMPOUNDVALUE(2043)</f>
        <v>7</v>
      </c>
      <c r="F57" s="45">
        <f>_xlfn.COMPOUNDVALUE(2042)</f>
        <v>1</v>
      </c>
      <c r="G57" s="45">
        <f>_xlfn.COMPOUNDVALUE(2248)</f>
        <v>287</v>
      </c>
      <c r="H57" s="45">
        <f>_xlfn.COMPOUNDVALUE(2169)</f>
        <v>287</v>
      </c>
      <c r="I57" s="49">
        <f>_xlfn.COMPOUNDVALUE(2206)</f>
      </c>
    </row>
    <row r="58" spans="1:9" ht="11.25">
      <c r="A58" s="11" t="str">
        <f>_xlfn.COMPOUNDVALUE(60)</f>
        <v>Tureia</v>
      </c>
      <c r="B58" s="46">
        <f>_xlfn.COMPOUNDVALUE(1882)</f>
        <v>95</v>
      </c>
      <c r="C58" s="46">
        <f>_xlfn.COMPOUNDVALUE(1989)</f>
        <v>75</v>
      </c>
      <c r="D58" s="46">
        <f>_xlfn.COMPOUNDVALUE(2041)</f>
        <v>2</v>
      </c>
      <c r="E58" s="46">
        <f>_xlfn.COMPOUNDVALUE(2103)</f>
        <v>7</v>
      </c>
      <c r="F58" s="46">
        <f>_xlfn.COMPOUNDVALUE(1854)</f>
        <v>11</v>
      </c>
      <c r="G58" s="46">
        <f>_xlfn.COMPOUNDVALUE(2249)</f>
        <v>301</v>
      </c>
      <c r="H58" s="46">
        <f>_xlfn.COMPOUNDVALUE(2170)</f>
        <v>301</v>
      </c>
      <c r="I58" s="50">
        <f>_xlfn.COMPOUNDVALUE(2125)</f>
      </c>
    </row>
    <row r="60" ht="11.25">
      <c r="I60" s="41" t="s">
        <v>49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7.7109375" style="35" customWidth="1"/>
    <col min="2" max="2" width="12.140625" style="35" customWidth="1"/>
    <col min="3" max="3" width="18.421875" style="35" customWidth="1"/>
    <col min="4" max="4" width="16.421875" style="35" customWidth="1"/>
    <col min="5" max="16384" width="11.421875" style="35" customWidth="1"/>
  </cols>
  <sheetData>
    <row r="1" spans="1:4" ht="45" customHeight="1">
      <c r="A1" s="224" t="s">
        <v>77</v>
      </c>
      <c r="B1" s="224"/>
      <c r="C1" s="224"/>
      <c r="D1" s="224"/>
    </row>
    <row r="2" spans="1:4" ht="11.25">
      <c r="A2" s="96"/>
      <c r="B2" s="96"/>
      <c r="C2" s="96"/>
      <c r="D2" s="157"/>
    </row>
    <row r="3" spans="1:4" ht="28.5" customHeight="1">
      <c r="A3" s="97" t="s">
        <v>78</v>
      </c>
      <c r="B3" s="98" t="s">
        <v>79</v>
      </c>
      <c r="C3" s="98" t="s">
        <v>80</v>
      </c>
      <c r="D3" s="158" t="s">
        <v>9</v>
      </c>
    </row>
    <row r="4" spans="1:4" ht="11.25">
      <c r="A4" s="100" t="s">
        <v>81</v>
      </c>
      <c r="B4" s="101">
        <v>72708</v>
      </c>
      <c r="C4" s="101">
        <v>265160</v>
      </c>
      <c r="D4" s="125">
        <v>3.64</v>
      </c>
    </row>
    <row r="5" spans="1:4" ht="11.25">
      <c r="A5" s="102"/>
      <c r="B5" s="103"/>
      <c r="C5" s="103"/>
      <c r="D5" s="126"/>
    </row>
    <row r="6" spans="1:4" ht="11.25">
      <c r="A6" s="100" t="s">
        <v>82</v>
      </c>
      <c r="B6" s="101"/>
      <c r="C6" s="101"/>
      <c r="D6" s="131"/>
    </row>
    <row r="7" spans="1:4" ht="11.25">
      <c r="A7" s="102" t="s">
        <v>83</v>
      </c>
      <c r="B7" s="104">
        <v>10533</v>
      </c>
      <c r="C7" s="104">
        <v>10531</v>
      </c>
      <c r="D7" s="126">
        <f>_xlfn.COMPOUNDVALUE(2282)</f>
        <v>1</v>
      </c>
    </row>
    <row r="8" spans="1:4" ht="11.25">
      <c r="A8" s="102" t="s">
        <v>84</v>
      </c>
      <c r="B8" s="104">
        <v>15753</v>
      </c>
      <c r="C8" s="104">
        <v>31507</v>
      </c>
      <c r="D8" s="140">
        <f>_xlfn.COMPOUNDVALUE(2283)</f>
        <v>2</v>
      </c>
    </row>
    <row r="9" spans="1:4" ht="11.25">
      <c r="A9" s="102" t="s">
        <v>85</v>
      </c>
      <c r="B9" s="104">
        <v>14228</v>
      </c>
      <c r="C9" s="104">
        <v>42684</v>
      </c>
      <c r="D9" s="140">
        <f>_xlfn.COMPOUNDVALUE(2284)</f>
        <v>3</v>
      </c>
    </row>
    <row r="10" spans="1:4" ht="11.25">
      <c r="A10" s="102" t="s">
        <v>86</v>
      </c>
      <c r="B10" s="104">
        <v>12853</v>
      </c>
      <c r="C10" s="104">
        <v>51413</v>
      </c>
      <c r="D10" s="140">
        <f>_xlfn.COMPOUNDVALUE(2285)</f>
        <v>4</v>
      </c>
    </row>
    <row r="11" spans="1:4" ht="11.25">
      <c r="A11" s="102" t="s">
        <v>87</v>
      </c>
      <c r="B11" s="104">
        <v>7973</v>
      </c>
      <c r="C11" s="104">
        <v>39865</v>
      </c>
      <c r="D11" s="140">
        <f>_xlfn.COMPOUNDVALUE(2286)</f>
        <v>5</v>
      </c>
    </row>
    <row r="12" spans="1:4" ht="11.25">
      <c r="A12" s="102" t="s">
        <v>88</v>
      </c>
      <c r="B12" s="104">
        <v>4263</v>
      </c>
      <c r="C12" s="104">
        <v>25578</v>
      </c>
      <c r="D12" s="140">
        <f>_xlfn.COMPOUNDVALUE(2287)</f>
        <v>6</v>
      </c>
    </row>
    <row r="13" spans="1:4" ht="11.25">
      <c r="A13" s="102" t="s">
        <v>89</v>
      </c>
      <c r="B13" s="104">
        <v>2547</v>
      </c>
      <c r="C13" s="104">
        <v>17829</v>
      </c>
      <c r="D13" s="140">
        <f>_xlfn.COMPOUNDVALUE(2288)</f>
        <v>7</v>
      </c>
    </row>
    <row r="14" spans="1:4" ht="11.25">
      <c r="A14" s="102" t="s">
        <v>90</v>
      </c>
      <c r="B14" s="104">
        <v>4558</v>
      </c>
      <c r="C14" s="104">
        <v>45753</v>
      </c>
      <c r="D14" s="140">
        <f>_xlfn.COMPOUNDVALUE(2289)</f>
        <v>9.994452741625773</v>
      </c>
    </row>
    <row r="15" spans="1:4" ht="11.25">
      <c r="A15" s="100" t="s">
        <v>10</v>
      </c>
      <c r="B15" s="101"/>
      <c r="C15" s="101"/>
      <c r="D15" s="131"/>
    </row>
    <row r="16" spans="1:4" ht="11.25">
      <c r="A16" s="105" t="s">
        <v>91</v>
      </c>
      <c r="B16" s="104">
        <v>51942</v>
      </c>
      <c r="C16" s="104">
        <v>187703</v>
      </c>
      <c r="D16" s="126">
        <v>3.6137037464864656</v>
      </c>
    </row>
    <row r="17" spans="1:4" ht="11.25">
      <c r="A17" s="105" t="s">
        <v>92</v>
      </c>
      <c r="B17" s="104">
        <v>10777</v>
      </c>
      <c r="C17" s="104">
        <v>47914</v>
      </c>
      <c r="D17" s="126">
        <v>4.445949707710866</v>
      </c>
    </row>
    <row r="18" spans="1:4" ht="11.25">
      <c r="A18" s="105" t="s">
        <v>93</v>
      </c>
      <c r="B18" s="104">
        <v>6154</v>
      </c>
      <c r="C18" s="104">
        <v>14237</v>
      </c>
      <c r="D18" s="126">
        <v>2.3134546636334092</v>
      </c>
    </row>
    <row r="19" spans="1:4" ht="11.25">
      <c r="A19" s="106" t="s">
        <v>94</v>
      </c>
      <c r="B19" s="107">
        <v>1800</v>
      </c>
      <c r="C19" s="107">
        <v>8712</v>
      </c>
      <c r="D19" s="126">
        <v>4.84</v>
      </c>
    </row>
    <row r="20" spans="1:4" ht="11.25">
      <c r="A20" s="105" t="s">
        <v>95</v>
      </c>
      <c r="B20" s="104">
        <v>1115</v>
      </c>
      <c r="C20" s="104">
        <v>3804</v>
      </c>
      <c r="D20" s="126">
        <v>3.411659192825112</v>
      </c>
    </row>
    <row r="21" spans="1:4" ht="11.25">
      <c r="A21" s="105" t="s">
        <v>96</v>
      </c>
      <c r="B21" s="104">
        <v>304</v>
      </c>
      <c r="C21" s="104">
        <v>731</v>
      </c>
      <c r="D21" s="126">
        <v>2.4046052631578947</v>
      </c>
    </row>
    <row r="22" spans="1:4" ht="11.25">
      <c r="A22" s="105" t="s">
        <v>97</v>
      </c>
      <c r="B22" s="104">
        <v>291</v>
      </c>
      <c r="C22" s="104">
        <v>1107</v>
      </c>
      <c r="D22" s="126">
        <v>3.804123711340206</v>
      </c>
    </row>
    <row r="23" spans="1:4" ht="11.25">
      <c r="A23" s="105" t="s">
        <v>98</v>
      </c>
      <c r="B23" s="104">
        <v>25</v>
      </c>
      <c r="C23" s="104">
        <v>50</v>
      </c>
      <c r="D23" s="126">
        <v>2</v>
      </c>
    </row>
    <row r="24" spans="1:4" ht="11.25">
      <c r="A24" s="105" t="s">
        <v>99</v>
      </c>
      <c r="B24" s="104">
        <v>300</v>
      </c>
      <c r="C24" s="104">
        <v>902</v>
      </c>
      <c r="D24" s="126">
        <v>3.006666666666667</v>
      </c>
    </row>
    <row r="25" spans="1:4" ht="11.25">
      <c r="A25" s="100" t="s">
        <v>11</v>
      </c>
      <c r="B25" s="101"/>
      <c r="C25" s="101"/>
      <c r="D25" s="125"/>
    </row>
    <row r="26" spans="1:4" ht="11.25">
      <c r="A26" s="102" t="s">
        <v>100</v>
      </c>
      <c r="B26" s="104">
        <v>5912</v>
      </c>
      <c r="C26" s="104">
        <v>14515</v>
      </c>
      <c r="D26" s="126">
        <v>2.4551759133964817</v>
      </c>
    </row>
    <row r="27" spans="1:4" ht="11.25">
      <c r="A27" s="102" t="s">
        <v>101</v>
      </c>
      <c r="B27" s="107">
        <v>13114</v>
      </c>
      <c r="C27" s="107">
        <v>38073</v>
      </c>
      <c r="D27" s="126">
        <v>2.90323318590819</v>
      </c>
    </row>
    <row r="28" spans="1:4" ht="11.25">
      <c r="A28" s="102" t="s">
        <v>102</v>
      </c>
      <c r="B28" s="107">
        <v>25821</v>
      </c>
      <c r="C28" s="107">
        <v>89351</v>
      </c>
      <c r="D28" s="126">
        <v>3.460400449246737</v>
      </c>
    </row>
    <row r="29" spans="1:4" ht="11.25">
      <c r="A29" s="102" t="s">
        <v>103</v>
      </c>
      <c r="B29" s="104">
        <v>18793</v>
      </c>
      <c r="C29" s="104">
        <v>76470</v>
      </c>
      <c r="D29" s="126">
        <v>4.069068270100569</v>
      </c>
    </row>
    <row r="30" spans="1:4" ht="11.25">
      <c r="A30" s="102" t="s">
        <v>104</v>
      </c>
      <c r="B30" s="104">
        <v>6561</v>
      </c>
      <c r="C30" s="104">
        <v>32186</v>
      </c>
      <c r="D30" s="126">
        <v>4.905654625819235</v>
      </c>
    </row>
    <row r="31" spans="1:4" ht="11.25">
      <c r="A31" s="102" t="s">
        <v>105</v>
      </c>
      <c r="B31" s="104">
        <v>2507</v>
      </c>
      <c r="C31" s="104">
        <v>14565</v>
      </c>
      <c r="D31" s="126">
        <v>5.8097327483047465</v>
      </c>
    </row>
    <row r="32" spans="1:4" ht="11.25">
      <c r="A32" s="100" t="s">
        <v>12</v>
      </c>
      <c r="B32" s="101"/>
      <c r="C32" s="101"/>
      <c r="D32" s="125"/>
    </row>
    <row r="33" spans="1:4" ht="11.25">
      <c r="A33" s="105" t="s">
        <v>106</v>
      </c>
      <c r="B33" s="104">
        <v>28595</v>
      </c>
      <c r="C33" s="104">
        <v>108387</v>
      </c>
      <c r="D33" s="126">
        <v>3.790417905228187</v>
      </c>
    </row>
    <row r="34" spans="1:4" ht="11.25">
      <c r="A34" s="105" t="s">
        <v>107</v>
      </c>
      <c r="B34" s="104">
        <v>11305</v>
      </c>
      <c r="C34" s="104">
        <v>43194</v>
      </c>
      <c r="D34" s="126">
        <v>3.8207872622733303</v>
      </c>
    </row>
    <row r="35" spans="1:4" ht="11.25">
      <c r="A35" s="105" t="s">
        <v>108</v>
      </c>
      <c r="B35" s="104">
        <v>11868</v>
      </c>
      <c r="C35" s="104">
        <v>44151</v>
      </c>
      <c r="D35" s="126">
        <v>3.720171890798787</v>
      </c>
    </row>
    <row r="36" spans="1:4" ht="11.25">
      <c r="A36" s="105" t="s">
        <v>109</v>
      </c>
      <c r="B36" s="104">
        <v>11580</v>
      </c>
      <c r="C36" s="104">
        <v>39337</v>
      </c>
      <c r="D36" s="126">
        <v>3.3969775474956823</v>
      </c>
    </row>
    <row r="37" spans="1:4" ht="11.25">
      <c r="A37" s="105" t="s">
        <v>110</v>
      </c>
      <c r="B37" s="104">
        <v>9360</v>
      </c>
      <c r="C37" s="104">
        <v>30091</v>
      </c>
      <c r="D37" s="126">
        <v>3.2148504273504273</v>
      </c>
    </row>
    <row r="38" spans="1:4" ht="11.25">
      <c r="A38" s="100" t="s">
        <v>13</v>
      </c>
      <c r="B38" s="101"/>
      <c r="C38" s="101"/>
      <c r="D38" s="125"/>
    </row>
    <row r="39" spans="1:4" ht="11.25">
      <c r="A39" s="108" t="s">
        <v>111</v>
      </c>
      <c r="B39" s="104">
        <v>40664</v>
      </c>
      <c r="C39" s="104">
        <v>143561</v>
      </c>
      <c r="D39" s="126">
        <v>3.5304200275427897</v>
      </c>
    </row>
    <row r="40" spans="1:4" ht="11.25">
      <c r="A40" s="108" t="s">
        <v>112</v>
      </c>
      <c r="B40" s="104">
        <v>30700</v>
      </c>
      <c r="C40" s="104">
        <v>117435</v>
      </c>
      <c r="D40" s="126">
        <v>3.8252442996742673</v>
      </c>
    </row>
    <row r="41" spans="1:4" ht="11.25">
      <c r="A41" s="108" t="s">
        <v>113</v>
      </c>
      <c r="B41" s="104">
        <v>210</v>
      </c>
      <c r="C41" s="104">
        <v>538</v>
      </c>
      <c r="D41" s="126">
        <v>2.5619047619047617</v>
      </c>
    </row>
    <row r="42" spans="1:4" ht="11.25">
      <c r="A42" s="108" t="s">
        <v>114</v>
      </c>
      <c r="B42" s="104">
        <v>482</v>
      </c>
      <c r="C42" s="104">
        <v>1470</v>
      </c>
      <c r="D42" s="126">
        <v>3.0497925311203318</v>
      </c>
    </row>
    <row r="43" spans="1:4" ht="11.25">
      <c r="A43" s="108" t="s">
        <v>115</v>
      </c>
      <c r="B43" s="104">
        <v>652</v>
      </c>
      <c r="C43" s="104">
        <v>2156</v>
      </c>
      <c r="D43" s="126">
        <v>3.3067484662576687</v>
      </c>
    </row>
    <row r="44" spans="1:4" ht="11.25">
      <c r="A44" s="100" t="s">
        <v>14</v>
      </c>
      <c r="B44" s="101"/>
      <c r="C44" s="101"/>
      <c r="D44" s="125"/>
    </row>
    <row r="45" spans="1:4" ht="11.25">
      <c r="A45" s="108" t="s">
        <v>114</v>
      </c>
      <c r="B45" s="104">
        <v>67597</v>
      </c>
      <c r="C45" s="104">
        <v>251481</v>
      </c>
      <c r="D45" s="126">
        <v>3.720298238087489</v>
      </c>
    </row>
    <row r="46" spans="1:4" ht="11.25">
      <c r="A46" s="108" t="s">
        <v>116</v>
      </c>
      <c r="B46" s="104">
        <v>1996</v>
      </c>
      <c r="C46" s="104">
        <v>5687</v>
      </c>
      <c r="D46" s="126">
        <v>2.849198396793587</v>
      </c>
    </row>
    <row r="47" spans="1:4" ht="11.25">
      <c r="A47" s="108" t="s">
        <v>117</v>
      </c>
      <c r="B47" s="104">
        <v>2431</v>
      </c>
      <c r="C47" s="104">
        <v>6290</v>
      </c>
      <c r="D47" s="126">
        <v>2.5874125874125875</v>
      </c>
    </row>
    <row r="48" spans="1:4" ht="11.25">
      <c r="A48" s="108" t="s">
        <v>118</v>
      </c>
      <c r="B48" s="104">
        <v>280</v>
      </c>
      <c r="C48" s="104">
        <v>670</v>
      </c>
      <c r="D48" s="126">
        <v>2.392857142857143</v>
      </c>
    </row>
    <row r="49" spans="1:4" ht="11.25">
      <c r="A49" s="108" t="s">
        <v>119</v>
      </c>
      <c r="B49" s="104">
        <v>404</v>
      </c>
      <c r="C49" s="104">
        <v>1032</v>
      </c>
      <c r="D49" s="126">
        <v>2.5544554455445545</v>
      </c>
    </row>
    <row r="50" spans="1:4" ht="11.25">
      <c r="A50" s="100" t="s">
        <v>15</v>
      </c>
      <c r="B50" s="101"/>
      <c r="C50" s="101"/>
      <c r="D50" s="125"/>
    </row>
    <row r="51" spans="1:4" ht="11.25">
      <c r="A51" s="105" t="s">
        <v>117</v>
      </c>
      <c r="B51" s="104">
        <v>56847</v>
      </c>
      <c r="C51" s="104">
        <v>206334</v>
      </c>
      <c r="D51" s="126">
        <v>3.629637447886432</v>
      </c>
    </row>
    <row r="52" spans="1:4" ht="11.25">
      <c r="A52" s="105" t="s">
        <v>120</v>
      </c>
      <c r="B52" s="104">
        <v>14901</v>
      </c>
      <c r="C52" s="104">
        <v>55842</v>
      </c>
      <c r="D52" s="126">
        <v>3.747533722568955</v>
      </c>
    </row>
    <row r="53" spans="1:4" ht="11.25">
      <c r="A53" s="105" t="s">
        <v>121</v>
      </c>
      <c r="B53" s="104">
        <v>475</v>
      </c>
      <c r="C53" s="104">
        <v>1402</v>
      </c>
      <c r="D53" s="126">
        <v>2.951578947368421</v>
      </c>
    </row>
    <row r="54" spans="1:4" ht="11.25">
      <c r="A54" s="102" t="s">
        <v>122</v>
      </c>
      <c r="B54" s="103">
        <v>485</v>
      </c>
      <c r="C54" s="103">
        <v>1582</v>
      </c>
      <c r="D54" s="126">
        <v>3.2618556701030927</v>
      </c>
    </row>
    <row r="55" spans="1:4" ht="11.25">
      <c r="A55" s="100" t="s">
        <v>16</v>
      </c>
      <c r="B55" s="101"/>
      <c r="C55" s="101"/>
      <c r="D55" s="125"/>
    </row>
    <row r="56" spans="1:4" ht="11.25">
      <c r="A56" s="105" t="s">
        <v>123</v>
      </c>
      <c r="B56" s="104">
        <v>68193</v>
      </c>
      <c r="C56" s="104">
        <v>247113</v>
      </c>
      <c r="D56" s="126">
        <v>3.623729708327834</v>
      </c>
    </row>
    <row r="57" spans="1:4" ht="11.25">
      <c r="A57" s="105" t="s">
        <v>124</v>
      </c>
      <c r="B57" s="104">
        <v>3742</v>
      </c>
      <c r="C57" s="104">
        <v>16238</v>
      </c>
      <c r="D57" s="126">
        <v>4.339390700160342</v>
      </c>
    </row>
    <row r="58" spans="1:4" ht="11.25">
      <c r="A58" s="105" t="s">
        <v>125</v>
      </c>
      <c r="B58" s="104">
        <v>773</v>
      </c>
      <c r="C58" s="104">
        <v>1809</v>
      </c>
      <c r="D58" s="126">
        <v>2.3402328589909445</v>
      </c>
    </row>
    <row r="59" spans="1:4" ht="11.25">
      <c r="A59" s="100" t="s">
        <v>17</v>
      </c>
      <c r="B59" s="101"/>
      <c r="C59" s="101"/>
      <c r="D59" s="131"/>
    </row>
    <row r="60" spans="1:4" ht="11.25">
      <c r="A60" s="102" t="s">
        <v>126</v>
      </c>
      <c r="B60" s="109">
        <v>70131</v>
      </c>
      <c r="C60" s="109">
        <v>256740</v>
      </c>
      <c r="D60" s="140">
        <v>3.6608632416477733</v>
      </c>
    </row>
    <row r="61" spans="1:4" ht="11.25">
      <c r="A61" s="102" t="s">
        <v>19</v>
      </c>
      <c r="B61" s="109">
        <v>1330</v>
      </c>
      <c r="C61" s="109">
        <v>5297</v>
      </c>
      <c r="D61" s="140">
        <v>3.982706766917293</v>
      </c>
    </row>
    <row r="62" spans="1:4" ht="11.25">
      <c r="A62" s="102" t="s">
        <v>20</v>
      </c>
      <c r="B62" s="109">
        <v>998</v>
      </c>
      <c r="C62" s="109">
        <v>2549</v>
      </c>
      <c r="D62" s="140">
        <v>2.5541082164328657</v>
      </c>
    </row>
    <row r="63" spans="1:4" ht="11.25">
      <c r="A63" s="102" t="s">
        <v>21</v>
      </c>
      <c r="B63" s="103">
        <v>249</v>
      </c>
      <c r="C63" s="103">
        <v>574</v>
      </c>
      <c r="D63" s="126">
        <v>2.3052208835341363</v>
      </c>
    </row>
    <row r="64" spans="1:4" ht="11.25">
      <c r="A64" s="100" t="s">
        <v>22</v>
      </c>
      <c r="B64" s="101"/>
      <c r="C64" s="101"/>
      <c r="D64" s="125"/>
    </row>
    <row r="65" spans="1:4" ht="11.25">
      <c r="A65" s="102" t="s">
        <v>23</v>
      </c>
      <c r="B65" s="103">
        <v>66916</v>
      </c>
      <c r="C65" s="103">
        <v>244397</v>
      </c>
      <c r="D65" s="126">
        <v>3.652295415147349</v>
      </c>
    </row>
    <row r="66" spans="1:4" ht="11.25">
      <c r="A66" s="102" t="s">
        <v>24</v>
      </c>
      <c r="B66" s="103">
        <v>580</v>
      </c>
      <c r="C66" s="103">
        <v>2205</v>
      </c>
      <c r="D66" s="126">
        <v>3.8017241379310347</v>
      </c>
    </row>
    <row r="67" spans="1:4" ht="11.25">
      <c r="A67" s="102" t="s">
        <v>25</v>
      </c>
      <c r="B67" s="103">
        <v>1109</v>
      </c>
      <c r="C67" s="103">
        <v>4049</v>
      </c>
      <c r="D67" s="126">
        <v>3.6510369702434624</v>
      </c>
    </row>
    <row r="68" spans="1:4" ht="11.25">
      <c r="A68" s="110" t="s">
        <v>26</v>
      </c>
      <c r="B68" s="103">
        <v>4103</v>
      </c>
      <c r="C68" s="103">
        <v>14509</v>
      </c>
      <c r="D68" s="126">
        <v>3.5361930294906165</v>
      </c>
    </row>
    <row r="69" spans="1:4" ht="11.25">
      <c r="A69" s="100" t="s">
        <v>127</v>
      </c>
      <c r="B69" s="101"/>
      <c r="C69" s="101"/>
      <c r="D69" s="130"/>
    </row>
    <row r="70" spans="1:4" ht="11.25">
      <c r="A70" s="102" t="s">
        <v>128</v>
      </c>
      <c r="B70" s="104">
        <v>69578</v>
      </c>
      <c r="C70" s="104">
        <v>255293</v>
      </c>
      <c r="D70" s="126">
        <v>3.6691626663600565</v>
      </c>
    </row>
    <row r="71" spans="1:4" ht="11.25">
      <c r="A71" s="102" t="s">
        <v>129</v>
      </c>
      <c r="B71" s="104">
        <v>894</v>
      </c>
      <c r="C71" s="104">
        <v>3492</v>
      </c>
      <c r="D71" s="126">
        <v>3.9060402684563758</v>
      </c>
    </row>
    <row r="72" spans="1:4" ht="11.25">
      <c r="A72" s="102" t="s">
        <v>130</v>
      </c>
      <c r="B72" s="104">
        <v>972</v>
      </c>
      <c r="C72" s="104">
        <v>3060</v>
      </c>
      <c r="D72" s="126">
        <v>3.1481481481481484</v>
      </c>
    </row>
    <row r="73" spans="1:4" ht="11.25">
      <c r="A73" s="102" t="s">
        <v>131</v>
      </c>
      <c r="B73" s="104">
        <v>17</v>
      </c>
      <c r="C73" s="104">
        <v>48</v>
      </c>
      <c r="D73" s="126">
        <v>2.823529411764706</v>
      </c>
    </row>
    <row r="74" spans="1:4" ht="11.25">
      <c r="A74" s="105" t="s">
        <v>132</v>
      </c>
      <c r="B74" s="104">
        <v>1179</v>
      </c>
      <c r="C74" s="104">
        <v>3077</v>
      </c>
      <c r="D74" s="126">
        <v>2.6098388464800677</v>
      </c>
    </row>
    <row r="75" spans="1:4" ht="11.25">
      <c r="A75" s="105" t="s">
        <v>99</v>
      </c>
      <c r="B75" s="104">
        <v>68</v>
      </c>
      <c r="C75" s="104">
        <v>190</v>
      </c>
      <c r="D75" s="126">
        <v>2.7941176470588234</v>
      </c>
    </row>
    <row r="76" spans="1:4" ht="11.25">
      <c r="A76" s="100" t="s">
        <v>28</v>
      </c>
      <c r="B76" s="101"/>
      <c r="C76" s="101"/>
      <c r="D76" s="130"/>
    </row>
    <row r="77" spans="1:4" ht="11.25">
      <c r="A77" s="102" t="s">
        <v>133</v>
      </c>
      <c r="B77" s="104">
        <v>65655</v>
      </c>
      <c r="C77" s="104">
        <v>240259</v>
      </c>
      <c r="D77" s="126">
        <v>3.659416647627751</v>
      </c>
    </row>
    <row r="78" spans="1:4" ht="11.25">
      <c r="A78" s="102" t="s">
        <v>134</v>
      </c>
      <c r="B78" s="104">
        <v>5474</v>
      </c>
      <c r="C78" s="104">
        <v>19030</v>
      </c>
      <c r="D78" s="126">
        <v>3.4764340518816224</v>
      </c>
    </row>
    <row r="79" spans="1:4" ht="11.25">
      <c r="A79" s="102" t="s">
        <v>135</v>
      </c>
      <c r="B79" s="104">
        <v>1579</v>
      </c>
      <c r="C79" s="104">
        <v>5871</v>
      </c>
      <c r="D79" s="126">
        <v>3.7181760607979735</v>
      </c>
    </row>
    <row r="80" spans="1:4" ht="11.25">
      <c r="A80" s="100" t="s">
        <v>29</v>
      </c>
      <c r="B80" s="101"/>
      <c r="C80" s="101"/>
      <c r="D80" s="130"/>
    </row>
    <row r="81" spans="1:4" ht="11.25">
      <c r="A81" s="102" t="s">
        <v>128</v>
      </c>
      <c r="B81" s="104">
        <v>65447</v>
      </c>
      <c r="C81" s="104">
        <v>240136</v>
      </c>
      <c r="D81" s="126">
        <v>3.6691674179106757</v>
      </c>
    </row>
    <row r="82" spans="1:4" ht="11.25">
      <c r="A82" s="102" t="s">
        <v>136</v>
      </c>
      <c r="B82" s="104">
        <v>7261</v>
      </c>
      <c r="C82" s="104">
        <v>25024</v>
      </c>
      <c r="D82" s="126">
        <v>3.446357251067346</v>
      </c>
    </row>
    <row r="83" spans="1:4" ht="11.25">
      <c r="A83" s="100" t="s">
        <v>30</v>
      </c>
      <c r="B83" s="101"/>
      <c r="C83" s="101"/>
      <c r="D83" s="125"/>
    </row>
    <row r="84" spans="1:4" ht="11.25">
      <c r="A84" s="102" t="s">
        <v>137</v>
      </c>
      <c r="B84" s="104">
        <v>12697</v>
      </c>
      <c r="C84" s="104">
        <v>45850</v>
      </c>
      <c r="D84" s="126">
        <v>3.6110892336772467</v>
      </c>
    </row>
    <row r="85" spans="1:4" ht="11.25">
      <c r="A85" s="102" t="s">
        <v>138</v>
      </c>
      <c r="B85" s="104">
        <v>58006</v>
      </c>
      <c r="C85" s="104">
        <v>212414</v>
      </c>
      <c r="D85" s="126">
        <v>3.6619315243250696</v>
      </c>
    </row>
    <row r="86" spans="1:4" ht="11.25">
      <c r="A86" s="102" t="s">
        <v>139</v>
      </c>
      <c r="B86" s="104">
        <v>2005</v>
      </c>
      <c r="C86" s="104">
        <v>6896</v>
      </c>
      <c r="D86" s="126">
        <v>3.4394014962593515</v>
      </c>
    </row>
    <row r="87" spans="1:4" ht="11.25">
      <c r="A87" s="100" t="s">
        <v>43</v>
      </c>
      <c r="B87" s="101"/>
      <c r="C87" s="101"/>
      <c r="D87" s="131"/>
    </row>
    <row r="88" spans="1:4" ht="11.25">
      <c r="A88" s="102" t="s">
        <v>31</v>
      </c>
      <c r="B88" s="111">
        <v>0.92836</v>
      </c>
      <c r="C88" s="112">
        <v>246602</v>
      </c>
      <c r="D88" s="126">
        <v>3.65</v>
      </c>
    </row>
    <row r="89" spans="1:4" ht="11.25">
      <c r="A89" s="102" t="s">
        <v>140</v>
      </c>
      <c r="B89" s="111">
        <v>0.9356</v>
      </c>
      <c r="C89" s="112">
        <v>248446</v>
      </c>
      <c r="D89" s="144">
        <v>3.65</v>
      </c>
    </row>
    <row r="90" spans="1:4" ht="11.25">
      <c r="A90" s="113" t="s">
        <v>33</v>
      </c>
      <c r="B90" s="114">
        <v>0.18927505535765862</v>
      </c>
      <c r="C90" s="104">
        <v>40569</v>
      </c>
      <c r="D90" s="145">
        <f>_xlfn.COMPOUNDVALUE(2290)</f>
        <v>3.0586517603871184</v>
      </c>
    </row>
    <row r="91" spans="1:4" ht="11.25">
      <c r="A91" s="102" t="s">
        <v>34</v>
      </c>
      <c r="B91" s="115">
        <v>0.426</v>
      </c>
      <c r="C91" s="116">
        <v>106770</v>
      </c>
      <c r="D91" s="144">
        <f>_xlfn.COMPOUNDVALUE(2291)</f>
        <v>3.5250242954324587</v>
      </c>
    </row>
    <row r="92" spans="1:4" ht="11.25">
      <c r="A92" s="102" t="s">
        <v>35</v>
      </c>
      <c r="B92" s="115">
        <v>0.27</v>
      </c>
      <c r="C92" s="116">
        <v>67823</v>
      </c>
      <c r="D92" s="144">
        <f>_xlfn.COMPOUNDVALUE(2292)</f>
        <v>3.5044444444444443</v>
      </c>
    </row>
    <row r="93" spans="1:4" ht="11.25">
      <c r="A93" s="102" t="s">
        <v>36</v>
      </c>
      <c r="B93" s="115">
        <v>0.9136</v>
      </c>
      <c r="C93" s="116">
        <v>248056</v>
      </c>
      <c r="D93" s="144">
        <v>3.7</v>
      </c>
    </row>
    <row r="94" spans="1:4" ht="11.25">
      <c r="A94" s="102" t="s">
        <v>141</v>
      </c>
      <c r="B94" s="115">
        <v>0.636</v>
      </c>
      <c r="C94" s="116">
        <v>188798</v>
      </c>
      <c r="D94" s="144">
        <v>4.1</v>
      </c>
    </row>
    <row r="95" spans="1:4" ht="11.25">
      <c r="A95" s="102" t="s">
        <v>38</v>
      </c>
      <c r="B95" s="115">
        <v>0.5721</v>
      </c>
      <c r="C95" s="116">
        <v>152706</v>
      </c>
      <c r="D95" s="144">
        <v>3.672</v>
      </c>
    </row>
    <row r="96" spans="1:4" ht="11.25">
      <c r="A96" s="102" t="s">
        <v>142</v>
      </c>
      <c r="B96" s="111">
        <v>0.427</v>
      </c>
      <c r="C96" s="112">
        <v>106111</v>
      </c>
      <c r="D96" s="144">
        <v>3.42</v>
      </c>
    </row>
    <row r="97" spans="1:4" ht="11.25">
      <c r="A97" s="102" t="s">
        <v>143</v>
      </c>
      <c r="B97" s="111">
        <v>0.856</v>
      </c>
      <c r="C97" s="112">
        <v>232830</v>
      </c>
      <c r="D97" s="144">
        <v>3.7</v>
      </c>
    </row>
    <row r="98" spans="1:4" ht="11.25">
      <c r="A98" s="102" t="s">
        <v>41</v>
      </c>
      <c r="B98" s="115">
        <v>0.5118</v>
      </c>
      <c r="C98" s="116">
        <v>130531</v>
      </c>
      <c r="D98" s="144">
        <v>3.5</v>
      </c>
    </row>
    <row r="99" spans="1:4" ht="11.25">
      <c r="A99" s="102" t="s">
        <v>42</v>
      </c>
      <c r="B99" s="115">
        <v>0.899</v>
      </c>
      <c r="C99" s="116">
        <v>244619</v>
      </c>
      <c r="D99" s="144">
        <v>3.7</v>
      </c>
    </row>
    <row r="100" spans="1:4" ht="11.25">
      <c r="A100" s="100" t="s">
        <v>2</v>
      </c>
      <c r="B100" s="117"/>
      <c r="C100" s="101"/>
      <c r="D100" s="130"/>
    </row>
    <row r="101" spans="1:4" ht="11.25">
      <c r="A101" s="102" t="s">
        <v>62</v>
      </c>
      <c r="B101" s="118">
        <v>0.22915692476963279</v>
      </c>
      <c r="C101" s="104">
        <v>55939</v>
      </c>
      <c r="D101" s="144">
        <v>3.4</v>
      </c>
    </row>
    <row r="102" spans="1:4" ht="11.25">
      <c r="A102" s="102" t="s">
        <v>59</v>
      </c>
      <c r="B102" s="118">
        <v>0.46468161188282214</v>
      </c>
      <c r="C102" s="104">
        <v>116359</v>
      </c>
      <c r="D102" s="144">
        <v>3.4</v>
      </c>
    </row>
    <row r="103" spans="1:4" ht="11.25">
      <c r="A103" s="102" t="s">
        <v>60</v>
      </c>
      <c r="B103" s="118">
        <v>0.2402695640214551</v>
      </c>
      <c r="C103" s="104">
        <v>68428</v>
      </c>
      <c r="D103" s="144">
        <v>3.9</v>
      </c>
    </row>
    <row r="104" spans="1:4" ht="11.25">
      <c r="A104" s="113" t="s">
        <v>61</v>
      </c>
      <c r="B104" s="119">
        <v>0.0659</v>
      </c>
      <c r="C104" s="107">
        <v>24434</v>
      </c>
      <c r="D104" s="145">
        <v>5.1</v>
      </c>
    </row>
    <row r="105" spans="1:4" ht="11.25">
      <c r="A105" s="100" t="s">
        <v>1</v>
      </c>
      <c r="B105" s="117"/>
      <c r="C105" s="101"/>
      <c r="D105" s="130"/>
    </row>
    <row r="106" spans="1:4" ht="11.25">
      <c r="A106" s="102" t="s">
        <v>63</v>
      </c>
      <c r="B106" s="118">
        <v>0.7626186219227067</v>
      </c>
      <c r="C106" s="107">
        <v>191651</v>
      </c>
      <c r="D106" s="147">
        <v>3.4563210099188457</v>
      </c>
    </row>
    <row r="107" spans="1:4" ht="11.25">
      <c r="A107" s="102" t="s">
        <v>64</v>
      </c>
      <c r="B107" s="118">
        <v>0.19624535827258974</v>
      </c>
      <c r="C107" s="107">
        <v>57943</v>
      </c>
      <c r="D107" s="147">
        <v>4.060761090475856</v>
      </c>
    </row>
    <row r="108" spans="1:4" ht="11.25">
      <c r="A108" s="102" t="s">
        <v>65</v>
      </c>
      <c r="B108" s="118">
        <v>0.03069729060651905</v>
      </c>
      <c r="C108" s="107">
        <v>11479</v>
      </c>
      <c r="D108" s="147">
        <v>5.142921146953405</v>
      </c>
    </row>
    <row r="109" spans="1:4" ht="11.25">
      <c r="A109" s="102" t="s">
        <v>66</v>
      </c>
      <c r="B109" s="111">
        <v>0.0104</v>
      </c>
      <c r="C109" s="107">
        <v>4087</v>
      </c>
      <c r="D109" s="144">
        <v>5.4</v>
      </c>
    </row>
    <row r="110" spans="1:4" ht="11.25">
      <c r="A110" s="100" t="s">
        <v>67</v>
      </c>
      <c r="B110" s="117"/>
      <c r="C110" s="101"/>
      <c r="D110" s="130"/>
    </row>
    <row r="111" spans="1:4" ht="11.25">
      <c r="A111" s="102" t="s">
        <v>68</v>
      </c>
      <c r="B111" s="111">
        <f>_xlfn.COMPOUNDVALUE(2293)</f>
        <v>0.8701766931855427</v>
      </c>
      <c r="C111" s="112">
        <v>227782</v>
      </c>
      <c r="D111" s="144">
        <v>3.62</v>
      </c>
    </row>
    <row r="112" spans="1:4" ht="11.25">
      <c r="A112" s="102" t="s">
        <v>69</v>
      </c>
      <c r="B112" s="111">
        <f>_xlfn.COMPOUNDVALUE(2294)</f>
        <v>0.11905187568904384</v>
      </c>
      <c r="C112" s="112">
        <v>32370</v>
      </c>
      <c r="D112" s="144">
        <v>3.8</v>
      </c>
    </row>
    <row r="113" spans="1:4" ht="11.25">
      <c r="A113" s="102" t="s">
        <v>70</v>
      </c>
      <c r="B113" s="111">
        <f>_xlfn.COMPOUNDVALUE(2295)</f>
        <v>0.008849557522123894</v>
      </c>
      <c r="C113" s="112">
        <v>3253</v>
      </c>
      <c r="D113" s="144">
        <v>4.1</v>
      </c>
    </row>
    <row r="114" spans="1:4" ht="11.25">
      <c r="A114" s="102" t="s">
        <v>71</v>
      </c>
      <c r="B114" s="111">
        <f>_xlfn.COMPOUNDVALUE(2296)</f>
        <v>0.0019218736032895324</v>
      </c>
      <c r="C114" s="112">
        <v>1755</v>
      </c>
      <c r="D114" s="144">
        <v>4.19</v>
      </c>
    </row>
    <row r="115" spans="1:4" ht="11.25">
      <c r="A115" s="100" t="s">
        <v>72</v>
      </c>
      <c r="B115" s="117"/>
      <c r="C115" s="101"/>
      <c r="D115" s="130"/>
    </row>
    <row r="116" spans="1:4" ht="11.25">
      <c r="A116" s="102" t="s">
        <v>73</v>
      </c>
      <c r="B116" s="111">
        <v>0.897</v>
      </c>
      <c r="C116" s="112">
        <v>235546</v>
      </c>
      <c r="D116" s="144">
        <v>3.6</v>
      </c>
    </row>
    <row r="117" spans="1:4" ht="11.25">
      <c r="A117" s="102" t="s">
        <v>74</v>
      </c>
      <c r="B117" s="111">
        <v>0.0763</v>
      </c>
      <c r="C117" s="112">
        <v>21833</v>
      </c>
      <c r="D117" s="144">
        <v>3.9</v>
      </c>
    </row>
    <row r="118" spans="1:4" ht="11.25">
      <c r="A118" s="102" t="s">
        <v>75</v>
      </c>
      <c r="B118" s="111">
        <f>_xlfn.COMPOUNDVALUE(2297)</f>
        <v>0.013184946813265397</v>
      </c>
      <c r="C118" s="112">
        <v>3550</v>
      </c>
      <c r="D118" s="144">
        <v>4.2</v>
      </c>
    </row>
    <row r="119" spans="1:4" ht="11.25">
      <c r="A119" s="134" t="s">
        <v>76</v>
      </c>
      <c r="B119" s="135">
        <v>0.015</v>
      </c>
      <c r="C119" s="136">
        <v>4231</v>
      </c>
      <c r="D119" s="159">
        <v>3.8</v>
      </c>
    </row>
    <row r="120" spans="1:4" ht="11.25">
      <c r="A120" s="120"/>
      <c r="B120" s="120"/>
      <c r="C120" s="120"/>
      <c r="D120" s="120"/>
    </row>
    <row r="121" spans="1:4" ht="11.25">
      <c r="A121" s="120"/>
      <c r="B121" s="120"/>
      <c r="C121" s="120"/>
      <c r="D121" s="41" t="s">
        <v>49</v>
      </c>
    </row>
    <row r="122" spans="1:4" ht="11.25">
      <c r="A122" s="120"/>
      <c r="B122" s="120"/>
      <c r="C122" s="120"/>
      <c r="D122" s="12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8.00390625" style="35" customWidth="1"/>
    <col min="2" max="2" width="10.7109375" style="35" customWidth="1"/>
    <col min="3" max="3" width="10.8515625" style="35" customWidth="1"/>
    <col min="4" max="4" width="15.8515625" style="35" customWidth="1"/>
    <col min="5" max="16384" width="11.421875" style="35" customWidth="1"/>
  </cols>
  <sheetData>
    <row r="1" spans="1:4" ht="39.75" customHeight="1">
      <c r="A1" s="224" t="s">
        <v>144</v>
      </c>
      <c r="B1" s="224"/>
      <c r="C1" s="224"/>
      <c r="D1" s="224"/>
    </row>
    <row r="2" spans="1:4" ht="22.5">
      <c r="A2" s="122" t="s">
        <v>78</v>
      </c>
      <c r="B2" s="123" t="s">
        <v>79</v>
      </c>
      <c r="C2" s="123" t="s">
        <v>80</v>
      </c>
      <c r="D2" s="124" t="s">
        <v>9</v>
      </c>
    </row>
    <row r="3" spans="1:4" ht="11.25">
      <c r="A3" s="122"/>
      <c r="B3" s="123"/>
      <c r="C3" s="123"/>
      <c r="D3" s="124"/>
    </row>
    <row r="4" spans="1:4" ht="11.25">
      <c r="A4" s="122"/>
      <c r="B4" s="123"/>
      <c r="C4" s="123"/>
      <c r="D4" s="124"/>
    </row>
    <row r="5" spans="1:4" ht="11.25">
      <c r="A5" s="100" t="s">
        <v>81</v>
      </c>
      <c r="B5" s="101">
        <v>54021</v>
      </c>
      <c r="C5" s="101">
        <v>198363</v>
      </c>
      <c r="D5" s="125">
        <v>3.671960904092853</v>
      </c>
    </row>
    <row r="6" spans="1:4" ht="11.25">
      <c r="A6" s="102"/>
      <c r="B6" s="103"/>
      <c r="C6" s="103"/>
      <c r="D6" s="126"/>
    </row>
    <row r="7" spans="1:4" ht="11.25">
      <c r="A7" s="100" t="s">
        <v>82</v>
      </c>
      <c r="B7" s="101"/>
      <c r="C7" s="101"/>
      <c r="D7" s="125"/>
    </row>
    <row r="8" spans="1:4" ht="11.25">
      <c r="A8" s="102" t="s">
        <v>83</v>
      </c>
      <c r="B8" s="103">
        <v>7545</v>
      </c>
      <c r="C8" s="103">
        <v>7545</v>
      </c>
      <c r="D8" s="126">
        <v>1</v>
      </c>
    </row>
    <row r="9" spans="1:4" ht="11.25">
      <c r="A9" s="102" t="s">
        <v>84</v>
      </c>
      <c r="B9" s="103">
        <v>11925</v>
      </c>
      <c r="C9" s="103">
        <v>23851</v>
      </c>
      <c r="D9" s="126">
        <v>2.000083857442348</v>
      </c>
    </row>
    <row r="10" spans="1:4" ht="11.25">
      <c r="A10" s="102" t="s">
        <v>85</v>
      </c>
      <c r="B10" s="103">
        <v>10704</v>
      </c>
      <c r="C10" s="103">
        <v>32113</v>
      </c>
      <c r="D10" s="126">
        <v>3.000093423019432</v>
      </c>
    </row>
    <row r="11" spans="1:4" ht="11.25">
      <c r="A11" s="102" t="s">
        <v>86</v>
      </c>
      <c r="B11" s="103">
        <v>9619</v>
      </c>
      <c r="C11" s="103">
        <v>38477</v>
      </c>
      <c r="D11" s="126">
        <v>4.000103960910698</v>
      </c>
    </row>
    <row r="12" spans="1:4" ht="11.25">
      <c r="A12" s="102" t="s">
        <v>87</v>
      </c>
      <c r="B12" s="103">
        <v>5807</v>
      </c>
      <c r="C12" s="103">
        <v>29035</v>
      </c>
      <c r="D12" s="126">
        <v>5</v>
      </c>
    </row>
    <row r="13" spans="1:4" ht="11.25">
      <c r="A13" s="102" t="s">
        <v>88</v>
      </c>
      <c r="B13" s="103">
        <v>2996</v>
      </c>
      <c r="C13" s="103">
        <v>17976</v>
      </c>
      <c r="D13" s="126">
        <v>6</v>
      </c>
    </row>
    <row r="14" spans="1:4" ht="11.25">
      <c r="A14" s="102" t="s">
        <v>89</v>
      </c>
      <c r="B14" s="103">
        <v>1830</v>
      </c>
      <c r="C14" s="103">
        <v>12810</v>
      </c>
      <c r="D14" s="126">
        <v>7</v>
      </c>
    </row>
    <row r="15" spans="1:4" ht="11.25">
      <c r="A15" s="102" t="s">
        <v>90</v>
      </c>
      <c r="B15" s="103">
        <v>3595</v>
      </c>
      <c r="C15" s="103">
        <v>36556</v>
      </c>
      <c r="D15" s="126">
        <v>10.168567454798332</v>
      </c>
    </row>
    <row r="16" spans="1:4" ht="11.25">
      <c r="A16" s="100" t="s">
        <v>10</v>
      </c>
      <c r="B16" s="101"/>
      <c r="C16" s="101"/>
      <c r="D16" s="125"/>
    </row>
    <row r="17" spans="1:4" ht="11.25">
      <c r="A17" s="105" t="s">
        <v>145</v>
      </c>
      <c r="B17" s="104">
        <v>38301</v>
      </c>
      <c r="C17" s="104">
        <v>140089</v>
      </c>
      <c r="D17" s="126">
        <v>3.6575807420171795</v>
      </c>
    </row>
    <row r="18" spans="1:4" ht="11.25">
      <c r="A18" s="105" t="s">
        <v>92</v>
      </c>
      <c r="B18" s="104">
        <v>6779</v>
      </c>
      <c r="C18" s="104">
        <v>31564</v>
      </c>
      <c r="D18" s="126">
        <v>4.656143974037469</v>
      </c>
    </row>
    <row r="19" spans="1:4" ht="11.25">
      <c r="A19" s="105" t="s">
        <v>93</v>
      </c>
      <c r="B19" s="104">
        <v>5854</v>
      </c>
      <c r="C19" s="104">
        <v>13635</v>
      </c>
      <c r="D19" s="126">
        <v>2.3291766313631705</v>
      </c>
    </row>
    <row r="20" spans="1:4" ht="11.25">
      <c r="A20" s="105" t="s">
        <v>95</v>
      </c>
      <c r="B20" s="104">
        <v>765</v>
      </c>
      <c r="C20" s="104">
        <v>2622</v>
      </c>
      <c r="D20" s="126">
        <v>3.4274509803921567</v>
      </c>
    </row>
    <row r="21" spans="1:4" ht="11.25">
      <c r="A21" s="106" t="s">
        <v>94</v>
      </c>
      <c r="B21" s="107">
        <v>1741</v>
      </c>
      <c r="C21" s="107">
        <v>8522</v>
      </c>
      <c r="D21" s="126">
        <v>4.89488799540494</v>
      </c>
    </row>
    <row r="22" spans="1:4" ht="11.25">
      <c r="A22" s="105" t="s">
        <v>96</v>
      </c>
      <c r="B22" s="104">
        <v>130</v>
      </c>
      <c r="C22" s="104">
        <v>368</v>
      </c>
      <c r="D22" s="126">
        <v>2.830769230769231</v>
      </c>
    </row>
    <row r="23" spans="1:4" ht="11.25">
      <c r="A23" s="105" t="s">
        <v>97</v>
      </c>
      <c r="B23" s="104">
        <v>209</v>
      </c>
      <c r="C23" s="104">
        <v>844</v>
      </c>
      <c r="D23" s="126">
        <v>4.038277511961723</v>
      </c>
    </row>
    <row r="24" spans="1:4" ht="11.25">
      <c r="A24" s="105" t="s">
        <v>98</v>
      </c>
      <c r="B24" s="104">
        <v>23</v>
      </c>
      <c r="C24" s="104">
        <v>47</v>
      </c>
      <c r="D24" s="126">
        <v>2.0434782608695654</v>
      </c>
    </row>
    <row r="25" spans="1:4" ht="11.25">
      <c r="A25" s="105" t="s">
        <v>99</v>
      </c>
      <c r="B25" s="104">
        <v>219</v>
      </c>
      <c r="C25" s="104">
        <v>672</v>
      </c>
      <c r="D25" s="126">
        <v>3.0684931506849313</v>
      </c>
    </row>
    <row r="26" spans="1:4" ht="11.25">
      <c r="A26" s="100" t="s">
        <v>11</v>
      </c>
      <c r="B26" s="101"/>
      <c r="C26" s="101"/>
      <c r="D26" s="125"/>
    </row>
    <row r="27" spans="1:4" ht="11.25">
      <c r="A27" s="102" t="s">
        <v>100</v>
      </c>
      <c r="B27" s="104">
        <v>3944</v>
      </c>
      <c r="C27" s="104">
        <v>9509</v>
      </c>
      <c r="D27" s="126">
        <v>2.411004056795132</v>
      </c>
    </row>
    <row r="28" spans="1:4" ht="11.25">
      <c r="A28" s="102" t="s">
        <v>101</v>
      </c>
      <c r="B28" s="104">
        <v>9445</v>
      </c>
      <c r="C28" s="104">
        <v>26946</v>
      </c>
      <c r="D28" s="126">
        <v>2.852938062466914</v>
      </c>
    </row>
    <row r="29" spans="1:4" ht="11.25">
      <c r="A29" s="102" t="s">
        <v>102</v>
      </c>
      <c r="B29" s="104">
        <v>18760</v>
      </c>
      <c r="C29" s="104">
        <v>64463</v>
      </c>
      <c r="D29" s="126">
        <v>3.4361940298507463</v>
      </c>
    </row>
    <row r="30" spans="1:4" ht="11.25">
      <c r="A30" s="102" t="s">
        <v>103</v>
      </c>
      <c r="B30" s="104">
        <v>14455</v>
      </c>
      <c r="C30" s="104">
        <v>58380</v>
      </c>
      <c r="D30" s="126">
        <v>4.038740920096853</v>
      </c>
    </row>
    <row r="31" spans="1:4" ht="11.25">
      <c r="A31" s="102" t="s">
        <v>104</v>
      </c>
      <c r="B31" s="104">
        <v>5367</v>
      </c>
      <c r="C31" s="104">
        <v>26699</v>
      </c>
      <c r="D31" s="126">
        <v>4.974659959008757</v>
      </c>
    </row>
    <row r="32" spans="1:4" ht="11.25">
      <c r="A32" s="102" t="s">
        <v>105</v>
      </c>
      <c r="B32" s="104">
        <v>2050</v>
      </c>
      <c r="C32" s="104">
        <v>12366</v>
      </c>
      <c r="D32" s="126">
        <v>6.0321951219512195</v>
      </c>
    </row>
    <row r="33" spans="1:4" ht="11.25">
      <c r="A33" s="100" t="s">
        <v>12</v>
      </c>
      <c r="B33" s="101"/>
      <c r="C33" s="101"/>
      <c r="D33" s="125"/>
    </row>
    <row r="34" spans="1:4" ht="11.25">
      <c r="A34" s="105" t="s">
        <v>106</v>
      </c>
      <c r="B34" s="104">
        <v>22733</v>
      </c>
      <c r="C34" s="104">
        <v>87194</v>
      </c>
      <c r="D34" s="126">
        <v>3.8355694365020017</v>
      </c>
    </row>
    <row r="35" spans="1:4" ht="11.25">
      <c r="A35" s="105" t="s">
        <v>107</v>
      </c>
      <c r="B35" s="104">
        <v>8259</v>
      </c>
      <c r="C35" s="104">
        <v>31908</v>
      </c>
      <c r="D35" s="126">
        <v>3.863421721758082</v>
      </c>
    </row>
    <row r="36" spans="1:4" ht="11.25">
      <c r="A36" s="105" t="s">
        <v>108</v>
      </c>
      <c r="B36" s="104">
        <v>8078</v>
      </c>
      <c r="C36" s="104">
        <v>29715</v>
      </c>
      <c r="D36" s="126">
        <v>3.6785095320623915</v>
      </c>
    </row>
    <row r="37" spans="1:4" ht="11.25">
      <c r="A37" s="105" t="s">
        <v>109</v>
      </c>
      <c r="B37" s="104">
        <v>8241</v>
      </c>
      <c r="C37" s="104">
        <v>27883</v>
      </c>
      <c r="D37" s="126">
        <v>3.383448610605509</v>
      </c>
    </row>
    <row r="38" spans="1:4" ht="11.25">
      <c r="A38" s="105" t="s">
        <v>110</v>
      </c>
      <c r="B38" s="104">
        <v>6710</v>
      </c>
      <c r="C38" s="104">
        <v>21663</v>
      </c>
      <c r="D38" s="126">
        <v>3.2284649776453054</v>
      </c>
    </row>
    <row r="39" spans="1:4" ht="11.25">
      <c r="A39" s="100" t="s">
        <v>13</v>
      </c>
      <c r="B39" s="101"/>
      <c r="C39" s="101"/>
      <c r="D39" s="125"/>
    </row>
    <row r="40" spans="1:4" ht="11.25">
      <c r="A40" s="108" t="s">
        <v>111</v>
      </c>
      <c r="B40" s="104">
        <v>33772</v>
      </c>
      <c r="C40" s="104">
        <v>119238</v>
      </c>
      <c r="D40" s="126">
        <v>3.5306762998934027</v>
      </c>
    </row>
    <row r="41" spans="1:4" ht="11.25">
      <c r="A41" s="108" t="s">
        <v>112</v>
      </c>
      <c r="B41" s="104">
        <v>19447</v>
      </c>
      <c r="C41" s="104">
        <v>76551</v>
      </c>
      <c r="D41" s="126">
        <v>3.9363912171543167</v>
      </c>
    </row>
    <row r="42" spans="1:4" ht="11.25">
      <c r="A42" s="108" t="s">
        <v>113</v>
      </c>
      <c r="B42" s="104">
        <v>101</v>
      </c>
      <c r="C42" s="104">
        <v>276</v>
      </c>
      <c r="D42" s="126">
        <v>2.732673267326733</v>
      </c>
    </row>
    <row r="43" spans="1:4" ht="11.25">
      <c r="A43" s="108" t="s">
        <v>114</v>
      </c>
      <c r="B43" s="104">
        <v>304</v>
      </c>
      <c r="C43" s="104">
        <v>951</v>
      </c>
      <c r="D43" s="126">
        <v>3.1282894736842106</v>
      </c>
    </row>
    <row r="44" spans="1:4" ht="11.25">
      <c r="A44" s="127" t="s">
        <v>115</v>
      </c>
      <c r="B44" s="128">
        <v>397</v>
      </c>
      <c r="C44" s="128">
        <v>1347</v>
      </c>
      <c r="D44" s="126">
        <v>3.392947103274559</v>
      </c>
    </row>
    <row r="45" spans="1:4" ht="11.25">
      <c r="A45" s="100" t="s">
        <v>14</v>
      </c>
      <c r="B45" s="101"/>
      <c r="C45" s="101"/>
      <c r="D45" s="125"/>
    </row>
    <row r="46" spans="1:4" ht="11.25">
      <c r="A46" s="108" t="s">
        <v>114</v>
      </c>
      <c r="B46" s="104">
        <v>49467</v>
      </c>
      <c r="C46" s="104">
        <v>186238</v>
      </c>
      <c r="D46" s="126">
        <v>3.764893767562213</v>
      </c>
    </row>
    <row r="47" spans="1:4" ht="11.25">
      <c r="A47" s="108" t="s">
        <v>116</v>
      </c>
      <c r="B47" s="104">
        <v>1806</v>
      </c>
      <c r="C47" s="104">
        <v>5129</v>
      </c>
      <c r="D47" s="126">
        <v>2.8399778516057586</v>
      </c>
    </row>
    <row r="48" spans="1:4" ht="11.25">
      <c r="A48" s="108" t="s">
        <v>117</v>
      </c>
      <c r="B48" s="104">
        <v>2288</v>
      </c>
      <c r="C48" s="104">
        <v>5815</v>
      </c>
      <c r="D48" s="126">
        <v>2.541520979020979</v>
      </c>
    </row>
    <row r="49" spans="1:4" ht="11.25">
      <c r="A49" s="108" t="s">
        <v>118</v>
      </c>
      <c r="B49" s="104">
        <v>141</v>
      </c>
      <c r="C49" s="104">
        <v>346</v>
      </c>
      <c r="D49" s="126">
        <v>2.4539007092198584</v>
      </c>
    </row>
    <row r="50" spans="1:4" ht="11.25">
      <c r="A50" s="127" t="s">
        <v>119</v>
      </c>
      <c r="B50" s="104">
        <v>319</v>
      </c>
      <c r="C50" s="104">
        <v>835</v>
      </c>
      <c r="D50" s="126">
        <v>2.6175548589341693</v>
      </c>
    </row>
    <row r="51" spans="1:4" ht="11.25">
      <c r="A51" s="100" t="s">
        <v>15</v>
      </c>
      <c r="B51" s="101"/>
      <c r="C51" s="101"/>
      <c r="D51" s="125"/>
    </row>
    <row r="52" spans="1:4" ht="11.25">
      <c r="A52" s="105" t="s">
        <v>117</v>
      </c>
      <c r="B52" s="104">
        <v>43978</v>
      </c>
      <c r="C52" s="104">
        <v>160425</v>
      </c>
      <c r="D52" s="126">
        <v>3.6478466505980265</v>
      </c>
    </row>
    <row r="53" spans="1:4" ht="11.25">
      <c r="A53" s="105" t="s">
        <v>120</v>
      </c>
      <c r="B53" s="104">
        <v>9514</v>
      </c>
      <c r="C53" s="104">
        <v>36212</v>
      </c>
      <c r="D53" s="126">
        <v>3.80618036577675</v>
      </c>
    </row>
    <row r="54" spans="1:4" ht="11.25">
      <c r="A54" s="105" t="s">
        <v>121</v>
      </c>
      <c r="B54" s="104">
        <v>219</v>
      </c>
      <c r="C54" s="104">
        <v>709</v>
      </c>
      <c r="D54" s="126">
        <v>3.2374429223744294</v>
      </c>
    </row>
    <row r="55" spans="1:4" ht="11.25">
      <c r="A55" s="102" t="s">
        <v>122</v>
      </c>
      <c r="B55" s="103">
        <v>310</v>
      </c>
      <c r="C55" s="103">
        <v>1017</v>
      </c>
      <c r="D55" s="126">
        <v>3.2806451612903227</v>
      </c>
    </row>
    <row r="56" spans="1:4" ht="11.25">
      <c r="A56" s="100" t="s">
        <v>16</v>
      </c>
      <c r="B56" s="101"/>
      <c r="C56" s="101"/>
      <c r="D56" s="125"/>
    </row>
    <row r="57" spans="1:4" ht="11.25">
      <c r="A57" s="105" t="s">
        <v>123</v>
      </c>
      <c r="B57" s="104">
        <v>51221</v>
      </c>
      <c r="C57" s="104">
        <v>186508</v>
      </c>
      <c r="D57" s="126">
        <v>3.6412408972882218</v>
      </c>
    </row>
    <row r="58" spans="1:4" ht="11.25">
      <c r="A58" s="105" t="s">
        <v>124</v>
      </c>
      <c r="B58" s="104">
        <v>2328</v>
      </c>
      <c r="C58" s="104">
        <v>10735</v>
      </c>
      <c r="D58" s="126">
        <v>4.611254295532646</v>
      </c>
    </row>
    <row r="59" spans="1:4" ht="11.25">
      <c r="A59" s="105" t="s">
        <v>125</v>
      </c>
      <c r="B59" s="104">
        <v>472</v>
      </c>
      <c r="C59" s="104">
        <v>1120</v>
      </c>
      <c r="D59" s="126">
        <v>2.3728813559322033</v>
      </c>
    </row>
    <row r="60" spans="1:4" ht="11.25">
      <c r="A60" s="100" t="s">
        <v>17</v>
      </c>
      <c r="B60" s="101"/>
      <c r="C60" s="101"/>
      <c r="D60" s="125"/>
    </row>
    <row r="61" spans="1:4" ht="11.25">
      <c r="A61" s="102" t="s">
        <v>18</v>
      </c>
      <c r="B61" s="109">
        <v>52363</v>
      </c>
      <c r="C61" s="109">
        <v>192406</v>
      </c>
      <c r="D61" s="126">
        <v>3.6744647938429806</v>
      </c>
    </row>
    <row r="62" spans="1:4" ht="11.25">
      <c r="A62" s="102" t="s">
        <v>19</v>
      </c>
      <c r="B62" s="109">
        <v>991</v>
      </c>
      <c r="C62" s="109">
        <v>4165</v>
      </c>
      <c r="D62" s="126">
        <v>4.202825428859738</v>
      </c>
    </row>
    <row r="63" spans="1:4" ht="11.25">
      <c r="A63" s="102" t="s">
        <v>20</v>
      </c>
      <c r="B63" s="109">
        <v>540</v>
      </c>
      <c r="C63" s="109">
        <v>1508</v>
      </c>
      <c r="D63" s="126">
        <v>2.7925925925925927</v>
      </c>
    </row>
    <row r="64" spans="1:4" ht="11.25">
      <c r="A64" s="102" t="s">
        <v>21</v>
      </c>
      <c r="B64" s="103">
        <v>127</v>
      </c>
      <c r="C64" s="103">
        <v>284</v>
      </c>
      <c r="D64" s="126">
        <v>2.236220472440945</v>
      </c>
    </row>
    <row r="65" spans="1:4" ht="11.25">
      <c r="A65" s="100" t="s">
        <v>22</v>
      </c>
      <c r="B65" s="101"/>
      <c r="C65" s="101"/>
      <c r="D65" s="125"/>
    </row>
    <row r="66" spans="1:4" ht="11.25">
      <c r="A66" s="102" t="s">
        <v>23</v>
      </c>
      <c r="B66" s="103">
        <v>51242</v>
      </c>
      <c r="C66" s="103">
        <v>188170</v>
      </c>
      <c r="D66" s="126">
        <v>3.6721829749033996</v>
      </c>
    </row>
    <row r="67" spans="1:4" ht="11.25">
      <c r="A67" s="102" t="s">
        <v>24</v>
      </c>
      <c r="B67" s="103">
        <v>287</v>
      </c>
      <c r="C67" s="103">
        <v>1518</v>
      </c>
      <c r="D67" s="126">
        <v>5.289198606271777</v>
      </c>
    </row>
    <row r="68" spans="1:4" ht="11.25">
      <c r="A68" s="102" t="s">
        <v>25</v>
      </c>
      <c r="B68" s="103">
        <v>558</v>
      </c>
      <c r="C68" s="103">
        <v>2037</v>
      </c>
      <c r="D68" s="126">
        <v>3.650537634408602</v>
      </c>
    </row>
    <row r="69" spans="1:4" ht="11.25">
      <c r="A69" s="102" t="s">
        <v>26</v>
      </c>
      <c r="B69" s="103">
        <v>1834</v>
      </c>
      <c r="C69" s="103">
        <v>6638</v>
      </c>
      <c r="D69" s="126">
        <v>3.619411123227917</v>
      </c>
    </row>
    <row r="70" spans="1:4" ht="11.25">
      <c r="A70" s="129" t="s">
        <v>127</v>
      </c>
      <c r="B70" s="101"/>
      <c r="C70" s="101"/>
      <c r="D70" s="125"/>
    </row>
    <row r="71" spans="1:4" ht="11.25">
      <c r="A71" s="102" t="s">
        <v>128</v>
      </c>
      <c r="B71" s="104">
        <v>52603</v>
      </c>
      <c r="C71" s="104">
        <v>193549</v>
      </c>
      <c r="D71" s="126">
        <v>3.6794289299089407</v>
      </c>
    </row>
    <row r="72" spans="1:4" ht="11.25">
      <c r="A72" s="102" t="s">
        <v>129</v>
      </c>
      <c r="B72" s="104">
        <v>542</v>
      </c>
      <c r="C72" s="104">
        <v>2377</v>
      </c>
      <c r="D72" s="126">
        <v>4.385608856088561</v>
      </c>
    </row>
    <row r="73" spans="1:4" ht="11.25">
      <c r="A73" s="102" t="s">
        <v>130</v>
      </c>
      <c r="B73" s="104">
        <v>200</v>
      </c>
      <c r="C73" s="104">
        <v>623</v>
      </c>
      <c r="D73" s="126">
        <v>3.115</v>
      </c>
    </row>
    <row r="74" spans="1:4" ht="11.25">
      <c r="A74" s="102" t="s">
        <v>131</v>
      </c>
      <c r="B74" s="104">
        <v>9</v>
      </c>
      <c r="C74" s="104">
        <v>22</v>
      </c>
      <c r="D74" s="126">
        <v>2.4444444444444446</v>
      </c>
    </row>
    <row r="75" spans="1:4" ht="11.25">
      <c r="A75" s="105" t="s">
        <v>132</v>
      </c>
      <c r="B75" s="104">
        <v>613</v>
      </c>
      <c r="C75" s="104">
        <v>1631</v>
      </c>
      <c r="D75" s="126">
        <v>2.66068515497553</v>
      </c>
    </row>
    <row r="76" spans="1:4" ht="11.25">
      <c r="A76" s="105" t="s">
        <v>99</v>
      </c>
      <c r="B76" s="104">
        <v>54</v>
      </c>
      <c r="C76" s="104">
        <v>161</v>
      </c>
      <c r="D76" s="126">
        <v>2.9814814814814814</v>
      </c>
    </row>
    <row r="77" spans="1:4" ht="11.25">
      <c r="A77" s="100" t="s">
        <v>28</v>
      </c>
      <c r="B77" s="101"/>
      <c r="C77" s="101"/>
      <c r="D77" s="130"/>
    </row>
    <row r="78" spans="1:4" ht="11.25">
      <c r="A78" s="102" t="s">
        <v>133</v>
      </c>
      <c r="B78" s="104">
        <v>51738</v>
      </c>
      <c r="C78" s="104">
        <v>190108</v>
      </c>
      <c r="D78" s="126">
        <v>3.6744365843287334</v>
      </c>
    </row>
    <row r="79" spans="1:4" ht="11.25">
      <c r="A79" s="102" t="s">
        <v>134</v>
      </c>
      <c r="B79" s="104">
        <v>1165</v>
      </c>
      <c r="C79" s="104">
        <v>3806</v>
      </c>
      <c r="D79" s="126">
        <v>3.266952789699571</v>
      </c>
    </row>
    <row r="80" spans="1:4" ht="11.25">
      <c r="A80" s="102" t="s">
        <v>135</v>
      </c>
      <c r="B80" s="104">
        <v>1118</v>
      </c>
      <c r="C80" s="104">
        <v>4449</v>
      </c>
      <c r="D80" s="126">
        <v>3.979427549194991</v>
      </c>
    </row>
    <row r="81" spans="1:4" ht="11.25">
      <c r="A81" s="100" t="s">
        <v>29</v>
      </c>
      <c r="B81" s="101"/>
      <c r="C81" s="101"/>
      <c r="D81" s="130"/>
    </row>
    <row r="82" spans="1:4" ht="11.25">
      <c r="A82" s="102" t="s">
        <v>128</v>
      </c>
      <c r="B82" s="104">
        <v>51526</v>
      </c>
      <c r="C82" s="104">
        <v>189806</v>
      </c>
      <c r="D82" s="126">
        <v>3.6836936692155415</v>
      </c>
    </row>
    <row r="83" spans="1:4" ht="11.25">
      <c r="A83" s="102" t="s">
        <v>136</v>
      </c>
      <c r="B83" s="104">
        <v>2495</v>
      </c>
      <c r="C83" s="104">
        <v>8557</v>
      </c>
      <c r="D83" s="126">
        <v>3.4296593186372744</v>
      </c>
    </row>
    <row r="84" spans="1:4" ht="11.25">
      <c r="A84" s="100" t="s">
        <v>30</v>
      </c>
      <c r="B84" s="101"/>
      <c r="C84" s="101"/>
      <c r="D84" s="131"/>
    </row>
    <row r="85" spans="1:4" ht="11.25">
      <c r="A85" s="102" t="s">
        <v>137</v>
      </c>
      <c r="B85" s="104">
        <v>10673</v>
      </c>
      <c r="C85" s="104">
        <v>38420</v>
      </c>
      <c r="D85" s="126">
        <v>3.5997376557668885</v>
      </c>
    </row>
    <row r="86" spans="1:4" ht="11.25">
      <c r="A86" s="102" t="s">
        <v>138</v>
      </c>
      <c r="B86" s="104">
        <v>42232</v>
      </c>
      <c r="C86" s="104">
        <v>155881</v>
      </c>
      <c r="D86" s="126">
        <v>3.691063648418261</v>
      </c>
    </row>
    <row r="87" spans="1:4" ht="11.25">
      <c r="A87" s="102" t="s">
        <v>139</v>
      </c>
      <c r="B87" s="104">
        <v>1116</v>
      </c>
      <c r="C87" s="104">
        <v>4062</v>
      </c>
      <c r="D87" s="126">
        <v>3.639784946236559</v>
      </c>
    </row>
    <row r="88" spans="1:4" ht="11.25">
      <c r="A88" s="100" t="s">
        <v>43</v>
      </c>
      <c r="B88" s="101"/>
      <c r="C88" s="101"/>
      <c r="D88" s="131"/>
    </row>
    <row r="89" spans="1:4" ht="11.25">
      <c r="A89" s="102" t="s">
        <v>31</v>
      </c>
      <c r="B89" s="132">
        <v>0.956</v>
      </c>
      <c r="C89" s="104">
        <v>189688</v>
      </c>
      <c r="D89" s="126">
        <v>3.6</v>
      </c>
    </row>
    <row r="90" spans="1:4" ht="11.25">
      <c r="A90" s="102" t="s">
        <v>140</v>
      </c>
      <c r="B90" s="115">
        <v>0.959</v>
      </c>
      <c r="C90" s="116">
        <v>190207</v>
      </c>
      <c r="D90" s="126">
        <v>3.65</v>
      </c>
    </row>
    <row r="91" spans="1:4" ht="11.25">
      <c r="A91" s="113" t="s">
        <v>33</v>
      </c>
      <c r="B91" s="133">
        <v>0.23041039595712778</v>
      </c>
      <c r="C91" s="104">
        <v>36818</v>
      </c>
      <c r="D91" s="126">
        <v>3.9</v>
      </c>
    </row>
    <row r="92" spans="1:4" ht="11.25">
      <c r="A92" s="102" t="s">
        <v>34</v>
      </c>
      <c r="B92" s="115">
        <v>0.474</v>
      </c>
      <c r="C92" s="116">
        <v>88508</v>
      </c>
      <c r="D92" s="126">
        <f>_xlfn.COMPOUNDVALUE(2291)</f>
        <v>3.5250242954324587</v>
      </c>
    </row>
    <row r="93" spans="1:4" ht="11.25">
      <c r="A93" s="102" t="s">
        <v>35</v>
      </c>
      <c r="B93" s="115">
        <v>0.329</v>
      </c>
      <c r="C93" s="104">
        <v>62173</v>
      </c>
      <c r="D93" s="126">
        <v>3.8</v>
      </c>
    </row>
    <row r="94" spans="1:4" ht="11.25">
      <c r="A94" s="102" t="s">
        <v>36</v>
      </c>
      <c r="B94" s="115">
        <v>0.933</v>
      </c>
      <c r="C94" s="116">
        <v>188407</v>
      </c>
      <c r="D94" s="126">
        <v>3.7</v>
      </c>
    </row>
    <row r="95" spans="1:4" ht="11.25">
      <c r="A95" s="102" t="s">
        <v>141</v>
      </c>
      <c r="B95" s="115">
        <v>0.604</v>
      </c>
      <c r="C95" s="116">
        <v>136499</v>
      </c>
      <c r="D95" s="126">
        <v>4.2</v>
      </c>
    </row>
    <row r="96" spans="1:4" ht="11.25">
      <c r="A96" s="102" t="s">
        <v>38</v>
      </c>
      <c r="B96" s="115">
        <v>0.636</v>
      </c>
      <c r="C96" s="116">
        <v>126497</v>
      </c>
      <c r="D96" s="126">
        <v>3.672</v>
      </c>
    </row>
    <row r="97" spans="1:4" ht="11.25">
      <c r="A97" s="102" t="s">
        <v>142</v>
      </c>
      <c r="B97" s="115">
        <v>0.493</v>
      </c>
      <c r="C97" s="116">
        <v>91674</v>
      </c>
      <c r="D97" s="126">
        <v>3.42</v>
      </c>
    </row>
    <row r="98" spans="1:4" ht="11.25">
      <c r="A98" s="102" t="s">
        <v>143</v>
      </c>
      <c r="B98" s="115">
        <v>0.879</v>
      </c>
      <c r="C98" s="104">
        <v>177773</v>
      </c>
      <c r="D98" s="126">
        <v>3.7</v>
      </c>
    </row>
    <row r="99" spans="1:4" ht="11.25">
      <c r="A99" s="102" t="s">
        <v>41</v>
      </c>
      <c r="B99" s="115">
        <v>0.549</v>
      </c>
      <c r="C99" s="116">
        <v>103833</v>
      </c>
      <c r="D99" s="126">
        <v>3.5</v>
      </c>
    </row>
    <row r="100" spans="1:4" ht="11.25">
      <c r="A100" s="102" t="s">
        <v>42</v>
      </c>
      <c r="B100" s="115">
        <v>0.924</v>
      </c>
      <c r="C100" s="104">
        <v>187175</v>
      </c>
      <c r="D100" s="126">
        <v>3.7</v>
      </c>
    </row>
    <row r="101" spans="1:4" ht="11.25">
      <c r="A101" s="100" t="s">
        <v>2</v>
      </c>
      <c r="B101" s="117"/>
      <c r="C101" s="101"/>
      <c r="D101" s="125"/>
    </row>
    <row r="102" spans="1:4" ht="11.25">
      <c r="A102" s="102" t="s">
        <v>62</v>
      </c>
      <c r="B102" s="133">
        <v>0.16604653745765535</v>
      </c>
      <c r="C102" s="104">
        <v>30589</v>
      </c>
      <c r="D102" s="126">
        <v>3.4</v>
      </c>
    </row>
    <row r="103" spans="1:4" ht="11.25">
      <c r="A103" s="102" t="s">
        <v>59</v>
      </c>
      <c r="B103" s="133">
        <v>0.4733344440125137</v>
      </c>
      <c r="C103" s="104">
        <v>86262</v>
      </c>
      <c r="D103" s="126">
        <v>3.4</v>
      </c>
    </row>
    <row r="104" spans="1:4" ht="11.25">
      <c r="A104" s="102" t="s">
        <v>60</v>
      </c>
      <c r="B104" s="133">
        <v>0.28068714018622387</v>
      </c>
      <c r="C104" s="104">
        <v>59248</v>
      </c>
      <c r="D104" s="126">
        <v>3.9</v>
      </c>
    </row>
    <row r="105" spans="1:4" ht="11.25">
      <c r="A105" s="113" t="s">
        <v>61</v>
      </c>
      <c r="B105" s="115">
        <v>0.0799</v>
      </c>
      <c r="C105" s="107">
        <v>22264</v>
      </c>
      <c r="D105" s="126">
        <v>5.16</v>
      </c>
    </row>
    <row r="106" spans="1:4" ht="11.25">
      <c r="A106" s="100" t="s">
        <v>1</v>
      </c>
      <c r="B106" s="117"/>
      <c r="C106" s="101"/>
      <c r="D106" s="125"/>
    </row>
    <row r="107" spans="1:4" ht="11.25">
      <c r="A107" s="102" t="s">
        <v>63</v>
      </c>
      <c r="B107" s="111">
        <v>0.7641287647396383</v>
      </c>
      <c r="C107" s="112">
        <v>143616</v>
      </c>
      <c r="D107" s="126">
        <v>3.4791540492744493</v>
      </c>
    </row>
    <row r="108" spans="1:4" ht="11.25">
      <c r="A108" s="102" t="s">
        <v>64</v>
      </c>
      <c r="B108" s="111">
        <v>0.1945169471131597</v>
      </c>
      <c r="C108" s="112">
        <v>42951</v>
      </c>
      <c r="D108" s="126">
        <v>4.087457175485344</v>
      </c>
    </row>
    <row r="109" spans="1:4" ht="11.25">
      <c r="A109" s="102" t="s">
        <v>65</v>
      </c>
      <c r="B109" s="111">
        <v>0.030802835934173746</v>
      </c>
      <c r="C109" s="112">
        <v>8610</v>
      </c>
      <c r="D109" s="126">
        <v>5.174278846153846</v>
      </c>
    </row>
    <row r="110" spans="1:4" ht="11.25">
      <c r="A110" s="102" t="s">
        <v>66</v>
      </c>
      <c r="B110" s="111">
        <v>0.010551452213028266</v>
      </c>
      <c r="C110" s="112">
        <v>3186</v>
      </c>
      <c r="D110" s="126">
        <v>5.589473684210526</v>
      </c>
    </row>
    <row r="111" spans="1:4" ht="11.25">
      <c r="A111" s="100" t="s">
        <v>67</v>
      </c>
      <c r="B111" s="117"/>
      <c r="C111" s="101"/>
      <c r="D111" s="125"/>
    </row>
    <row r="112" spans="1:4" ht="11.25">
      <c r="A112" s="102" t="s">
        <v>68</v>
      </c>
      <c r="B112" s="111">
        <v>0.9124044353121934</v>
      </c>
      <c r="C112" s="112">
        <v>180746</v>
      </c>
      <c r="D112" s="126">
        <v>3.62</v>
      </c>
    </row>
    <row r="113" spans="1:4" ht="11.25">
      <c r="A113" s="102" t="s">
        <v>69</v>
      </c>
      <c r="B113" s="111">
        <v>0.07563725217970789</v>
      </c>
      <c r="C113" s="112">
        <v>15172</v>
      </c>
      <c r="D113" s="126">
        <v>3.8</v>
      </c>
    </row>
    <row r="114" spans="1:4" ht="11.25">
      <c r="A114" s="102" t="s">
        <v>70</v>
      </c>
      <c r="B114" s="111">
        <v>0.006275337368801022</v>
      </c>
      <c r="C114" s="112">
        <v>1393</v>
      </c>
      <c r="D114" s="126">
        <v>4.1</v>
      </c>
    </row>
    <row r="115" spans="1:4" ht="11.25">
      <c r="A115" s="102" t="s">
        <v>71</v>
      </c>
      <c r="B115" s="111">
        <v>0.005682975139297681</v>
      </c>
      <c r="C115" s="112">
        <v>1052</v>
      </c>
      <c r="D115" s="126">
        <v>4.19</v>
      </c>
    </row>
    <row r="116" spans="1:4" ht="11.25">
      <c r="A116" s="100" t="s">
        <v>72</v>
      </c>
      <c r="B116" s="117"/>
      <c r="C116" s="101"/>
      <c r="D116" s="125"/>
    </row>
    <row r="117" spans="1:4" ht="11.25">
      <c r="A117" s="102" t="s">
        <v>73</v>
      </c>
      <c r="B117" s="111">
        <v>0.9081838544269821</v>
      </c>
      <c r="C117" s="112">
        <v>178843</v>
      </c>
      <c r="D117" s="126">
        <v>3.645319092558244</v>
      </c>
    </row>
    <row r="118" spans="1:4" ht="11.25">
      <c r="A118" s="102" t="s">
        <v>74</v>
      </c>
      <c r="B118" s="111">
        <v>0.06553007163880713</v>
      </c>
      <c r="C118" s="112">
        <v>13842</v>
      </c>
      <c r="D118" s="126">
        <v>3.9101694915254237</v>
      </c>
    </row>
    <row r="119" spans="1:4" ht="11.25">
      <c r="A119" s="102" t="s">
        <v>75</v>
      </c>
      <c r="B119" s="111">
        <v>0.010718054090076081</v>
      </c>
      <c r="C119" s="112">
        <v>2476</v>
      </c>
      <c r="D119" s="126">
        <v>4.276338514680484</v>
      </c>
    </row>
    <row r="120" spans="1:4" ht="11.25">
      <c r="A120" s="134" t="s">
        <v>76</v>
      </c>
      <c r="B120" s="135">
        <v>0.0156</v>
      </c>
      <c r="C120" s="136">
        <v>3202</v>
      </c>
      <c r="D120" s="137">
        <v>3.8</v>
      </c>
    </row>
    <row r="121" spans="1:4" ht="11.25">
      <c r="A121" s="120"/>
      <c r="B121" s="120"/>
      <c r="C121" s="120"/>
      <c r="D121" s="120"/>
    </row>
    <row r="122" spans="1:4" ht="11.25">
      <c r="A122" s="120"/>
      <c r="B122" s="120"/>
      <c r="C122" s="120"/>
      <c r="D122" s="41" t="s">
        <v>49</v>
      </c>
    </row>
    <row r="123" spans="1:4" ht="11.25">
      <c r="A123" s="120"/>
      <c r="B123" s="120"/>
      <c r="C123" s="120"/>
      <c r="D123" s="12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9.00390625" style="35" customWidth="1"/>
    <col min="2" max="3" width="11.421875" style="35" customWidth="1"/>
    <col min="4" max="4" width="16.421875" style="35" customWidth="1"/>
    <col min="5" max="16384" width="11.421875" style="35" customWidth="1"/>
  </cols>
  <sheetData>
    <row r="1" spans="1:4" ht="38.25" customHeight="1">
      <c r="A1" s="224" t="s">
        <v>146</v>
      </c>
      <c r="B1" s="224"/>
      <c r="C1" s="224"/>
      <c r="D1" s="224"/>
    </row>
    <row r="2" spans="1:4" ht="11.25">
      <c r="A2" s="225"/>
      <c r="B2" s="225"/>
      <c r="C2" s="225"/>
      <c r="D2" s="138"/>
    </row>
    <row r="3" spans="1:4" ht="22.5">
      <c r="A3" s="97" t="s">
        <v>78</v>
      </c>
      <c r="B3" s="98" t="s">
        <v>79</v>
      </c>
      <c r="C3" s="98" t="s">
        <v>80</v>
      </c>
      <c r="D3" s="99" t="s">
        <v>9</v>
      </c>
    </row>
    <row r="4" spans="1:4" ht="11.25">
      <c r="A4" s="122"/>
      <c r="B4" s="123"/>
      <c r="C4" s="123"/>
      <c r="D4" s="139"/>
    </row>
    <row r="5" spans="1:4" ht="11.25">
      <c r="A5" s="122"/>
      <c r="B5" s="123"/>
      <c r="C5" s="123"/>
      <c r="D5" s="139"/>
    </row>
    <row r="6" spans="1:4" ht="11.25">
      <c r="A6" s="100" t="s">
        <v>81</v>
      </c>
      <c r="B6" s="101">
        <v>9572</v>
      </c>
      <c r="C6" s="101">
        <v>34472</v>
      </c>
      <c r="D6" s="125">
        <v>3.6013372335979943</v>
      </c>
    </row>
    <row r="7" spans="1:4" ht="11.25">
      <c r="A7" s="102"/>
      <c r="B7" s="103"/>
      <c r="C7" s="103"/>
      <c r="D7" s="126"/>
    </row>
    <row r="8" spans="1:4" ht="11.25">
      <c r="A8" s="100" t="s">
        <v>82</v>
      </c>
      <c r="B8" s="101"/>
      <c r="C8" s="101"/>
      <c r="D8" s="125"/>
    </row>
    <row r="9" spans="1:4" ht="11.25">
      <c r="A9" s="102" t="s">
        <v>83</v>
      </c>
      <c r="B9" s="104">
        <v>1460</v>
      </c>
      <c r="C9" s="104">
        <v>1460</v>
      </c>
      <c r="D9" s="126">
        <v>1</v>
      </c>
    </row>
    <row r="10" spans="1:4" ht="11.25">
      <c r="A10" s="102" t="s">
        <v>84</v>
      </c>
      <c r="B10" s="104">
        <v>2053</v>
      </c>
      <c r="C10" s="104">
        <v>4106</v>
      </c>
      <c r="D10" s="126">
        <v>2</v>
      </c>
    </row>
    <row r="11" spans="1:4" ht="11.25">
      <c r="A11" s="102" t="s">
        <v>85</v>
      </c>
      <c r="B11" s="104">
        <v>1780</v>
      </c>
      <c r="C11" s="104">
        <v>5339</v>
      </c>
      <c r="D11" s="126">
        <v>2.999438202247191</v>
      </c>
    </row>
    <row r="12" spans="1:4" ht="11.25">
      <c r="A12" s="102" t="s">
        <v>86</v>
      </c>
      <c r="B12" s="104">
        <v>1681</v>
      </c>
      <c r="C12" s="104">
        <v>6724</v>
      </c>
      <c r="D12" s="126">
        <v>4</v>
      </c>
    </row>
    <row r="13" spans="1:4" ht="11.25">
      <c r="A13" s="102" t="s">
        <v>87</v>
      </c>
      <c r="B13" s="104">
        <v>1093</v>
      </c>
      <c r="C13" s="104">
        <v>5465</v>
      </c>
      <c r="D13" s="126">
        <v>5</v>
      </c>
    </row>
    <row r="14" spans="1:4" ht="11.25">
      <c r="A14" s="102" t="s">
        <v>88</v>
      </c>
      <c r="B14" s="104">
        <v>601</v>
      </c>
      <c r="C14" s="104">
        <v>3606</v>
      </c>
      <c r="D14" s="126">
        <v>6</v>
      </c>
    </row>
    <row r="15" spans="1:4" ht="11.25">
      <c r="A15" s="102" t="s">
        <v>89</v>
      </c>
      <c r="B15" s="104">
        <v>365</v>
      </c>
      <c r="C15" s="104">
        <v>2555</v>
      </c>
      <c r="D15" s="126">
        <v>7</v>
      </c>
    </row>
    <row r="16" spans="1:4" ht="11.25">
      <c r="A16" s="102" t="s">
        <v>90</v>
      </c>
      <c r="B16" s="104">
        <v>539</v>
      </c>
      <c r="C16" s="104">
        <v>5217</v>
      </c>
      <c r="D16" s="126">
        <v>9.679035250463821</v>
      </c>
    </row>
    <row r="17" spans="1:4" ht="11.25">
      <c r="A17" s="100" t="s">
        <v>10</v>
      </c>
      <c r="B17" s="101"/>
      <c r="C17" s="101"/>
      <c r="D17" s="131"/>
    </row>
    <row r="18" spans="1:4" ht="11.25">
      <c r="A18" s="105" t="s">
        <v>145</v>
      </c>
      <c r="B18" s="104">
        <v>6569</v>
      </c>
      <c r="C18" s="104">
        <v>22840</v>
      </c>
      <c r="D18" s="126">
        <v>3.476937128938956</v>
      </c>
    </row>
    <row r="19" spans="1:4" ht="11.25">
      <c r="A19" s="105" t="s">
        <v>92</v>
      </c>
      <c r="B19" s="104">
        <v>2302</v>
      </c>
      <c r="C19" s="104">
        <v>9786</v>
      </c>
      <c r="D19" s="126">
        <v>4.251086012163336</v>
      </c>
    </row>
    <row r="20" spans="1:4" ht="11.25">
      <c r="A20" s="105" t="s">
        <v>93</v>
      </c>
      <c r="B20" s="104">
        <v>240</v>
      </c>
      <c r="C20" s="104">
        <v>464</v>
      </c>
      <c r="D20" s="126">
        <v>1.9333333333333333</v>
      </c>
    </row>
    <row r="21" spans="1:4" ht="11.25">
      <c r="A21" s="105" t="s">
        <v>95</v>
      </c>
      <c r="B21" s="104">
        <v>234</v>
      </c>
      <c r="C21" s="104">
        <v>809</v>
      </c>
      <c r="D21" s="126">
        <v>3.4572649572649574</v>
      </c>
    </row>
    <row r="22" spans="1:4" ht="11.25">
      <c r="A22" s="106" t="s">
        <v>94</v>
      </c>
      <c r="B22" s="107">
        <v>33</v>
      </c>
      <c r="C22" s="107">
        <v>108</v>
      </c>
      <c r="D22" s="140">
        <v>3.272727272727273</v>
      </c>
    </row>
    <row r="23" spans="1:4" ht="11.25">
      <c r="A23" s="105" t="s">
        <v>96</v>
      </c>
      <c r="B23" s="104">
        <v>126</v>
      </c>
      <c r="C23" s="104">
        <v>255</v>
      </c>
      <c r="D23" s="126">
        <v>2.0238095238095237</v>
      </c>
    </row>
    <row r="24" spans="1:4" ht="11.25">
      <c r="A24" s="105" t="s">
        <v>97</v>
      </c>
      <c r="B24" s="104">
        <v>35</v>
      </c>
      <c r="C24" s="104">
        <v>127</v>
      </c>
      <c r="D24" s="126">
        <v>3.6285714285714286</v>
      </c>
    </row>
    <row r="25" spans="1:4" ht="11.25">
      <c r="A25" s="105" t="s">
        <v>98</v>
      </c>
      <c r="B25" s="104">
        <v>2</v>
      </c>
      <c r="C25" s="104">
        <v>3</v>
      </c>
      <c r="D25" s="126">
        <v>1.5</v>
      </c>
    </row>
    <row r="26" spans="1:4" ht="11.25">
      <c r="A26" s="105" t="s">
        <v>99</v>
      </c>
      <c r="B26" s="104">
        <v>31</v>
      </c>
      <c r="C26" s="104">
        <v>80</v>
      </c>
      <c r="D26" s="126">
        <v>2.5806451612903225</v>
      </c>
    </row>
    <row r="27" spans="1:4" ht="11.25">
      <c r="A27" s="100" t="s">
        <v>11</v>
      </c>
      <c r="B27" s="101"/>
      <c r="C27" s="101"/>
      <c r="D27" s="125"/>
    </row>
    <row r="28" spans="1:4" ht="11.25">
      <c r="A28" s="102" t="s">
        <v>100</v>
      </c>
      <c r="B28" s="104">
        <v>1060</v>
      </c>
      <c r="C28" s="104">
        <v>2736</v>
      </c>
      <c r="D28" s="141">
        <v>2.581132075471698</v>
      </c>
    </row>
    <row r="29" spans="1:4" ht="11.25">
      <c r="A29" s="102" t="s">
        <v>101</v>
      </c>
      <c r="B29" s="104">
        <v>1959</v>
      </c>
      <c r="C29" s="104">
        <v>5954</v>
      </c>
      <c r="D29" s="141">
        <v>3.0393057682491067</v>
      </c>
    </row>
    <row r="30" spans="1:4" ht="11.25">
      <c r="A30" s="102" t="s">
        <v>102</v>
      </c>
      <c r="B30" s="104">
        <v>3637</v>
      </c>
      <c r="C30" s="104">
        <v>12900</v>
      </c>
      <c r="D30" s="141">
        <v>3.5468792961231785</v>
      </c>
    </row>
    <row r="31" spans="1:4" ht="11.25">
      <c r="A31" s="102" t="s">
        <v>103</v>
      </c>
      <c r="B31" s="104">
        <v>2145</v>
      </c>
      <c r="C31" s="104">
        <v>9228</v>
      </c>
      <c r="D31" s="141">
        <v>4.302097902097902</v>
      </c>
    </row>
    <row r="32" spans="1:4" ht="11.25">
      <c r="A32" s="102" t="s">
        <v>104</v>
      </c>
      <c r="B32" s="104">
        <v>566</v>
      </c>
      <c r="C32" s="104">
        <v>2650</v>
      </c>
      <c r="D32" s="141">
        <v>4.681978798586573</v>
      </c>
    </row>
    <row r="33" spans="1:4" ht="11.25">
      <c r="A33" s="102" t="s">
        <v>105</v>
      </c>
      <c r="B33" s="104">
        <v>205</v>
      </c>
      <c r="C33" s="104">
        <v>1004</v>
      </c>
      <c r="D33" s="141">
        <v>4.897560975609756</v>
      </c>
    </row>
    <row r="34" spans="1:4" ht="11.25">
      <c r="A34" s="100" t="s">
        <v>12</v>
      </c>
      <c r="B34" s="101"/>
      <c r="C34" s="101"/>
      <c r="D34" s="125"/>
    </row>
    <row r="35" spans="1:4" ht="11.25">
      <c r="A35" s="105" t="s">
        <v>106</v>
      </c>
      <c r="B35" s="104">
        <v>2647</v>
      </c>
      <c r="C35" s="104">
        <v>9623</v>
      </c>
      <c r="D35" s="126">
        <v>3.6354363430298453</v>
      </c>
    </row>
    <row r="36" spans="1:4" ht="11.25">
      <c r="A36" s="105" t="s">
        <v>107</v>
      </c>
      <c r="B36" s="104">
        <v>1642</v>
      </c>
      <c r="C36" s="104">
        <v>6183</v>
      </c>
      <c r="D36" s="126">
        <v>3.7655298416565164</v>
      </c>
    </row>
    <row r="37" spans="1:4" ht="11.25">
      <c r="A37" s="105" t="s">
        <v>108</v>
      </c>
      <c r="B37" s="104">
        <v>2225</v>
      </c>
      <c r="C37" s="104">
        <v>8721</v>
      </c>
      <c r="D37" s="126">
        <v>3.919550561797753</v>
      </c>
    </row>
    <row r="38" spans="1:4" ht="11.25">
      <c r="A38" s="105" t="s">
        <v>109</v>
      </c>
      <c r="B38" s="104">
        <v>1737</v>
      </c>
      <c r="C38" s="104">
        <v>5787</v>
      </c>
      <c r="D38" s="126">
        <v>3.33160621761658</v>
      </c>
    </row>
    <row r="39" spans="1:4" ht="11.25">
      <c r="A39" s="105" t="s">
        <v>110</v>
      </c>
      <c r="B39" s="104">
        <v>1321</v>
      </c>
      <c r="C39" s="104">
        <v>4158</v>
      </c>
      <c r="D39" s="126">
        <v>3.1476154428463285</v>
      </c>
    </row>
    <row r="40" spans="1:4" ht="11.25">
      <c r="A40" s="100" t="s">
        <v>13</v>
      </c>
      <c r="B40" s="101"/>
      <c r="C40" s="101"/>
      <c r="D40" s="125"/>
    </row>
    <row r="41" spans="1:4" ht="11.25">
      <c r="A41" s="105" t="s">
        <v>111</v>
      </c>
      <c r="B41" s="104">
        <v>3770</v>
      </c>
      <c r="C41" s="104">
        <v>12920</v>
      </c>
      <c r="D41" s="126">
        <v>3.4270557029177717</v>
      </c>
    </row>
    <row r="42" spans="1:4" ht="11.25">
      <c r="A42" s="105" t="s">
        <v>112</v>
      </c>
      <c r="B42" s="104">
        <v>5583</v>
      </c>
      <c r="C42" s="104">
        <v>20952</v>
      </c>
      <c r="D42" s="126">
        <v>3.752821063944116</v>
      </c>
    </row>
    <row r="43" spans="1:4" ht="11.25">
      <c r="A43" s="105" t="s">
        <v>113</v>
      </c>
      <c r="B43" s="104">
        <v>49</v>
      </c>
      <c r="C43" s="104">
        <v>121</v>
      </c>
      <c r="D43" s="126">
        <v>2.4693877551020407</v>
      </c>
    </row>
    <row r="44" spans="1:4" ht="11.25">
      <c r="A44" s="105" t="s">
        <v>114</v>
      </c>
      <c r="B44" s="104">
        <v>97</v>
      </c>
      <c r="C44" s="104">
        <v>294</v>
      </c>
      <c r="D44" s="126">
        <v>3.0309278350515463</v>
      </c>
    </row>
    <row r="45" spans="1:4" ht="11.25">
      <c r="A45" s="105" t="s">
        <v>115</v>
      </c>
      <c r="B45" s="128">
        <v>73</v>
      </c>
      <c r="C45" s="128">
        <v>185</v>
      </c>
      <c r="D45" s="126">
        <v>2.5342465753424657</v>
      </c>
    </row>
    <row r="46" spans="1:4" ht="11.25">
      <c r="A46" s="100" t="s">
        <v>14</v>
      </c>
      <c r="B46" s="101"/>
      <c r="C46" s="101"/>
      <c r="D46" s="125"/>
    </row>
    <row r="47" spans="1:4" ht="11.25">
      <c r="A47" s="105" t="s">
        <v>114</v>
      </c>
      <c r="B47" s="104">
        <v>9186</v>
      </c>
      <c r="C47" s="104">
        <v>33405</v>
      </c>
      <c r="D47" s="126">
        <v>3.6365120836054867</v>
      </c>
    </row>
    <row r="48" spans="1:4" ht="11.25">
      <c r="A48" s="105" t="s">
        <v>116</v>
      </c>
      <c r="B48" s="104">
        <v>131</v>
      </c>
      <c r="C48" s="104">
        <v>383</v>
      </c>
      <c r="D48" s="126">
        <v>2.9236641221374047</v>
      </c>
    </row>
    <row r="49" spans="1:4" ht="11.25">
      <c r="A49" s="105" t="s">
        <v>117</v>
      </c>
      <c r="B49" s="104">
        <v>85</v>
      </c>
      <c r="C49" s="104">
        <v>260</v>
      </c>
      <c r="D49" s="126">
        <v>3.0588235294117645</v>
      </c>
    </row>
    <row r="50" spans="1:4" ht="11.25">
      <c r="A50" s="105" t="s">
        <v>118</v>
      </c>
      <c r="B50" s="104">
        <v>100</v>
      </c>
      <c r="C50" s="104">
        <v>254</v>
      </c>
      <c r="D50" s="126">
        <v>2.54</v>
      </c>
    </row>
    <row r="51" spans="1:4" ht="11.25">
      <c r="A51" s="105" t="s">
        <v>119</v>
      </c>
      <c r="B51" s="142">
        <v>70</v>
      </c>
      <c r="C51" s="142">
        <v>170</v>
      </c>
      <c r="D51" s="126">
        <v>2.4285714285714284</v>
      </c>
    </row>
    <row r="52" spans="1:4" ht="11.25">
      <c r="A52" s="100" t="s">
        <v>15</v>
      </c>
      <c r="B52" s="101"/>
      <c r="C52" s="101"/>
      <c r="D52" s="125"/>
    </row>
    <row r="53" spans="1:4" ht="11.25">
      <c r="A53" s="105" t="s">
        <v>117</v>
      </c>
      <c r="B53" s="104">
        <v>6062</v>
      </c>
      <c r="C53" s="104">
        <v>21493</v>
      </c>
      <c r="D53" s="126">
        <v>3.545529528208512</v>
      </c>
    </row>
    <row r="54" spans="1:4" ht="11.25">
      <c r="A54" s="105" t="s">
        <v>120</v>
      </c>
      <c r="B54" s="104">
        <v>3306</v>
      </c>
      <c r="C54" s="104">
        <v>12400</v>
      </c>
      <c r="D54" s="126">
        <v>3.750756200846945</v>
      </c>
    </row>
    <row r="55" spans="1:4" ht="11.25">
      <c r="A55" s="105" t="s">
        <v>121</v>
      </c>
      <c r="B55" s="104">
        <v>133</v>
      </c>
      <c r="C55" s="104">
        <v>377</v>
      </c>
      <c r="D55" s="126">
        <v>2.8345864661654137</v>
      </c>
    </row>
    <row r="56" spans="1:4" ht="11.25">
      <c r="A56" s="102" t="s">
        <v>122</v>
      </c>
      <c r="B56" s="103">
        <v>71</v>
      </c>
      <c r="C56" s="103">
        <v>202</v>
      </c>
      <c r="D56" s="126">
        <v>2.8450704225352115</v>
      </c>
    </row>
    <row r="57" spans="1:4" ht="11.25">
      <c r="A57" s="100" t="s">
        <v>16</v>
      </c>
      <c r="B57" s="101"/>
      <c r="C57" s="101"/>
      <c r="D57" s="125"/>
    </row>
    <row r="58" spans="1:4" ht="11.25">
      <c r="A58" s="105" t="s">
        <v>123</v>
      </c>
      <c r="B58" s="104">
        <v>8647</v>
      </c>
      <c r="C58" s="104">
        <v>30956</v>
      </c>
      <c r="D58" s="126">
        <v>3.579969931768243</v>
      </c>
    </row>
    <row r="59" spans="1:4" ht="11.25">
      <c r="A59" s="105" t="s">
        <v>124</v>
      </c>
      <c r="B59" s="104">
        <v>788</v>
      </c>
      <c r="C59" s="104">
        <v>3206</v>
      </c>
      <c r="D59" s="126">
        <v>4.068527918781726</v>
      </c>
    </row>
    <row r="60" spans="1:4" ht="11.25">
      <c r="A60" s="105" t="s">
        <v>125</v>
      </c>
      <c r="B60" s="104">
        <v>137</v>
      </c>
      <c r="C60" s="104">
        <v>310</v>
      </c>
      <c r="D60" s="126">
        <v>2.2627737226277373</v>
      </c>
    </row>
    <row r="61" spans="1:4" ht="11.25">
      <c r="A61" s="100" t="s">
        <v>17</v>
      </c>
      <c r="B61" s="101"/>
      <c r="C61" s="101"/>
      <c r="D61" s="131"/>
    </row>
    <row r="62" spans="1:4" ht="11.25">
      <c r="A62" s="102" t="s">
        <v>18</v>
      </c>
      <c r="B62" s="109">
        <v>9081</v>
      </c>
      <c r="C62" s="109">
        <v>33096</v>
      </c>
      <c r="D62" s="140">
        <v>3.644532540469111</v>
      </c>
    </row>
    <row r="63" spans="1:4" ht="11.25">
      <c r="A63" s="102" t="s">
        <v>19</v>
      </c>
      <c r="B63" s="109">
        <v>159</v>
      </c>
      <c r="C63" s="109">
        <v>497</v>
      </c>
      <c r="D63" s="140">
        <v>3.1257861635220126</v>
      </c>
    </row>
    <row r="64" spans="1:4" ht="11.25">
      <c r="A64" s="102" t="s">
        <v>20</v>
      </c>
      <c r="B64" s="109">
        <v>240</v>
      </c>
      <c r="C64" s="109">
        <v>658</v>
      </c>
      <c r="D64" s="140">
        <v>2.7416666666666667</v>
      </c>
    </row>
    <row r="65" spans="1:4" ht="11.25">
      <c r="A65" s="102" t="s">
        <v>21</v>
      </c>
      <c r="B65" s="103">
        <v>92</v>
      </c>
      <c r="C65" s="103">
        <v>221</v>
      </c>
      <c r="D65" s="126">
        <v>2.402173913043478</v>
      </c>
    </row>
    <row r="66" spans="1:4" ht="11.25">
      <c r="A66" s="100" t="s">
        <v>22</v>
      </c>
      <c r="B66" s="101"/>
      <c r="C66" s="101"/>
      <c r="D66" s="125"/>
    </row>
    <row r="67" spans="1:4" ht="11.25">
      <c r="A67" s="102" t="s">
        <v>23</v>
      </c>
      <c r="B67" s="103">
        <v>8424</v>
      </c>
      <c r="C67" s="103">
        <v>30308</v>
      </c>
      <c r="D67" s="126">
        <v>3.5978157644824313</v>
      </c>
    </row>
    <row r="68" spans="1:4" ht="11.25">
      <c r="A68" s="102" t="s">
        <v>24</v>
      </c>
      <c r="B68" s="103">
        <v>82</v>
      </c>
      <c r="C68" s="103">
        <v>307</v>
      </c>
      <c r="D68" s="126">
        <v>3.7439024390243905</v>
      </c>
    </row>
    <row r="69" spans="1:4" ht="11.25">
      <c r="A69" s="102" t="s">
        <v>25</v>
      </c>
      <c r="B69" s="103">
        <v>245</v>
      </c>
      <c r="C69" s="103">
        <v>889</v>
      </c>
      <c r="D69" s="126">
        <v>3.6285714285714286</v>
      </c>
    </row>
    <row r="70" spans="1:4" ht="11.25">
      <c r="A70" s="110" t="s">
        <v>26</v>
      </c>
      <c r="B70" s="103">
        <v>821</v>
      </c>
      <c r="C70" s="103">
        <v>2968</v>
      </c>
      <c r="D70" s="126">
        <v>3.6151035322777103</v>
      </c>
    </row>
    <row r="71" spans="1:4" ht="11.25">
      <c r="A71" s="143" t="s">
        <v>127</v>
      </c>
      <c r="B71" s="101"/>
      <c r="C71" s="101"/>
      <c r="D71" s="131"/>
    </row>
    <row r="72" spans="1:4" ht="11.25">
      <c r="A72" s="102" t="s">
        <v>128</v>
      </c>
      <c r="B72" s="104">
        <v>8891</v>
      </c>
      <c r="C72" s="104">
        <v>32465</v>
      </c>
      <c r="D72" s="126">
        <v>3.6514452817455854</v>
      </c>
    </row>
    <row r="73" spans="1:4" ht="11.25">
      <c r="A73" s="102" t="s">
        <v>129</v>
      </c>
      <c r="B73" s="104">
        <v>123</v>
      </c>
      <c r="C73" s="104">
        <v>442</v>
      </c>
      <c r="D73" s="126">
        <v>3.5934959349593494</v>
      </c>
    </row>
    <row r="74" spans="1:4" ht="11.25">
      <c r="A74" s="102" t="s">
        <v>130</v>
      </c>
      <c r="B74" s="104">
        <v>222</v>
      </c>
      <c r="C74" s="104">
        <v>674</v>
      </c>
      <c r="D74" s="126">
        <v>3.036036036036036</v>
      </c>
    </row>
    <row r="75" spans="1:4" ht="11.25">
      <c r="A75" s="102" t="s">
        <v>131</v>
      </c>
      <c r="B75" s="104">
        <v>4</v>
      </c>
      <c r="C75" s="104">
        <v>12</v>
      </c>
      <c r="D75" s="126">
        <v>3</v>
      </c>
    </row>
    <row r="76" spans="1:4" ht="11.25">
      <c r="A76" s="105" t="s">
        <v>132</v>
      </c>
      <c r="B76" s="104">
        <v>322</v>
      </c>
      <c r="C76" s="104">
        <v>856</v>
      </c>
      <c r="D76" s="126">
        <v>2.658385093167702</v>
      </c>
    </row>
    <row r="77" spans="1:4" ht="11.25">
      <c r="A77" s="105" t="s">
        <v>99</v>
      </c>
      <c r="B77" s="104">
        <v>10</v>
      </c>
      <c r="C77" s="104">
        <v>23</v>
      </c>
      <c r="D77" s="126">
        <v>2.3</v>
      </c>
    </row>
    <row r="78" spans="1:4" ht="11.25">
      <c r="A78" s="100" t="s">
        <v>28</v>
      </c>
      <c r="B78" s="101"/>
      <c r="C78" s="101"/>
      <c r="D78" s="131"/>
    </row>
    <row r="79" spans="1:4" ht="11.25">
      <c r="A79" s="102" t="s">
        <v>133</v>
      </c>
      <c r="B79" s="104">
        <v>8753</v>
      </c>
      <c r="C79" s="104">
        <v>31876</v>
      </c>
      <c r="D79" s="126">
        <v>3.641722837884154</v>
      </c>
    </row>
    <row r="80" spans="1:4" ht="11.25">
      <c r="A80" s="102" t="s">
        <v>134</v>
      </c>
      <c r="B80" s="104">
        <v>568</v>
      </c>
      <c r="C80" s="104">
        <v>1878</v>
      </c>
      <c r="D80" s="126">
        <v>3.306338028169014</v>
      </c>
    </row>
    <row r="81" spans="1:4" ht="11.25">
      <c r="A81" s="102" t="s">
        <v>135</v>
      </c>
      <c r="B81" s="104">
        <v>251</v>
      </c>
      <c r="C81" s="104">
        <v>718</v>
      </c>
      <c r="D81" s="126">
        <v>2.860557768924303</v>
      </c>
    </row>
    <row r="82" spans="1:4" ht="11.25">
      <c r="A82" s="100" t="s">
        <v>29</v>
      </c>
      <c r="B82" s="101"/>
      <c r="C82" s="101"/>
      <c r="D82" s="131"/>
    </row>
    <row r="83" spans="1:4" ht="11.25">
      <c r="A83" s="102" t="s">
        <v>128</v>
      </c>
      <c r="B83" s="104">
        <v>9007</v>
      </c>
      <c r="C83" s="104">
        <v>32762</v>
      </c>
      <c r="D83" s="126">
        <v>3.6373931386699234</v>
      </c>
    </row>
    <row r="84" spans="1:4" ht="11.25">
      <c r="A84" s="102" t="s">
        <v>136</v>
      </c>
      <c r="B84" s="104">
        <v>565</v>
      </c>
      <c r="C84" s="104">
        <v>1710</v>
      </c>
      <c r="D84" s="126">
        <v>3.0265486725663715</v>
      </c>
    </row>
    <row r="85" spans="1:4" ht="11.25">
      <c r="A85" s="100" t="s">
        <v>30</v>
      </c>
      <c r="B85" s="101"/>
      <c r="C85" s="101"/>
      <c r="D85" s="125"/>
    </row>
    <row r="86" spans="1:4" ht="11.25">
      <c r="A86" s="102" t="s">
        <v>137</v>
      </c>
      <c r="B86" s="104">
        <v>1905</v>
      </c>
      <c r="C86" s="104">
        <v>7061</v>
      </c>
      <c r="D86" s="126">
        <v>3.7065616797900263</v>
      </c>
    </row>
    <row r="87" spans="1:4" ht="11.25">
      <c r="A87" s="102" t="s">
        <v>138</v>
      </c>
      <c r="B87" s="104">
        <v>7330</v>
      </c>
      <c r="C87" s="104">
        <v>26371</v>
      </c>
      <c r="D87" s="126">
        <v>3.597680763983629</v>
      </c>
    </row>
    <row r="88" spans="1:4" ht="11.25">
      <c r="A88" s="102" t="s">
        <v>139</v>
      </c>
      <c r="B88" s="104">
        <v>337</v>
      </c>
      <c r="C88" s="104">
        <v>1040</v>
      </c>
      <c r="D88" s="126">
        <v>3.086053412462908</v>
      </c>
    </row>
    <row r="89" spans="1:4" ht="11.25">
      <c r="A89" s="100" t="s">
        <v>43</v>
      </c>
      <c r="B89" s="101"/>
      <c r="C89" s="101"/>
      <c r="D89" s="131"/>
    </row>
    <row r="90" spans="1:4" ht="11.25">
      <c r="A90" s="102" t="s">
        <v>31</v>
      </c>
      <c r="B90" s="111">
        <v>0.889</v>
      </c>
      <c r="C90" s="112">
        <v>30615</v>
      </c>
      <c r="D90" s="126">
        <v>3.6</v>
      </c>
    </row>
    <row r="91" spans="1:4" ht="11.25">
      <c r="A91" s="102" t="s">
        <v>140</v>
      </c>
      <c r="B91" s="111">
        <v>0.9056</v>
      </c>
      <c r="C91" s="112">
        <v>31197</v>
      </c>
      <c r="D91" s="144">
        <v>3.6</v>
      </c>
    </row>
    <row r="92" spans="1:4" ht="11.25">
      <c r="A92" s="113" t="s">
        <v>33</v>
      </c>
      <c r="B92" s="115">
        <v>0.098</v>
      </c>
      <c r="C92" s="116">
        <v>2649</v>
      </c>
      <c r="D92" s="145">
        <v>2.8</v>
      </c>
    </row>
    <row r="93" spans="1:4" ht="11.25">
      <c r="A93" s="102" t="s">
        <v>34</v>
      </c>
      <c r="B93" s="115">
        <v>0.333</v>
      </c>
      <c r="C93" s="146">
        <v>10774</v>
      </c>
      <c r="D93" s="145">
        <v>3.38</v>
      </c>
    </row>
    <row r="94" spans="1:4" ht="11.25">
      <c r="A94" s="102" t="s">
        <v>35</v>
      </c>
      <c r="B94" s="115">
        <v>0.142</v>
      </c>
      <c r="C94" s="146">
        <v>3990</v>
      </c>
      <c r="D94" s="145">
        <v>2.9295154185022025</v>
      </c>
    </row>
    <row r="95" spans="1:4" ht="11.25">
      <c r="A95" s="102" t="s">
        <v>36</v>
      </c>
      <c r="B95" s="115">
        <v>0.863</v>
      </c>
      <c r="C95" s="116">
        <v>30909</v>
      </c>
      <c r="D95" s="145">
        <v>3.7424627</v>
      </c>
    </row>
    <row r="96" spans="1:4" ht="11.25">
      <c r="A96" s="102" t="s">
        <v>37</v>
      </c>
      <c r="B96" s="115">
        <v>0.646</v>
      </c>
      <c r="C96" s="146">
        <v>24601</v>
      </c>
      <c r="D96" s="145">
        <v>3.976883284836728</v>
      </c>
    </row>
    <row r="97" spans="1:4" ht="11.25">
      <c r="A97" s="102" t="s">
        <v>38</v>
      </c>
      <c r="B97" s="115">
        <v>0.419</v>
      </c>
      <c r="C97" s="116">
        <v>14465</v>
      </c>
      <c r="D97" s="145">
        <v>3.607231920199501</v>
      </c>
    </row>
    <row r="98" spans="1:4" ht="11.25">
      <c r="A98" s="102" t="s">
        <v>142</v>
      </c>
      <c r="B98" s="115">
        <v>0.283</v>
      </c>
      <c r="C98" s="107">
        <v>8728</v>
      </c>
      <c r="D98" s="145">
        <v>3.2242334687846324</v>
      </c>
    </row>
    <row r="99" spans="1:4" ht="11.25">
      <c r="A99" s="102" t="s">
        <v>143</v>
      </c>
      <c r="B99" s="115">
        <v>0.797</v>
      </c>
      <c r="C99" s="116">
        <v>28414</v>
      </c>
      <c r="D99" s="145">
        <v>3.7</v>
      </c>
    </row>
    <row r="100" spans="1:4" ht="11.25">
      <c r="A100" s="102" t="s">
        <v>41</v>
      </c>
      <c r="B100" s="115">
        <v>0.423</v>
      </c>
      <c r="C100" s="116">
        <v>14003</v>
      </c>
      <c r="D100" s="145">
        <v>3.5</v>
      </c>
    </row>
    <row r="101" spans="1:4" ht="11.25">
      <c r="A101" s="102" t="s">
        <v>42</v>
      </c>
      <c r="B101" s="115">
        <v>0.831</v>
      </c>
      <c r="C101" s="116">
        <v>29807</v>
      </c>
      <c r="D101" s="145">
        <v>3.7</v>
      </c>
    </row>
    <row r="102" spans="1:4" ht="11.25">
      <c r="A102" s="100" t="s">
        <v>2</v>
      </c>
      <c r="B102" s="117"/>
      <c r="C102" s="101"/>
      <c r="D102" s="125"/>
    </row>
    <row r="103" spans="1:4" ht="11.25">
      <c r="A103" s="102" t="s">
        <v>62</v>
      </c>
      <c r="B103" s="118">
        <v>0.3210405348934392</v>
      </c>
      <c r="C103" s="104">
        <v>10140</v>
      </c>
      <c r="D103" s="147">
        <v>3.2997071265863975</v>
      </c>
    </row>
    <row r="104" spans="1:4" ht="11.25">
      <c r="A104" s="102" t="s">
        <v>59</v>
      </c>
      <c r="B104" s="118">
        <v>0.4909109903886335</v>
      </c>
      <c r="C104" s="104">
        <v>16951</v>
      </c>
      <c r="D104" s="147">
        <v>3.6073632687805914</v>
      </c>
    </row>
    <row r="105" spans="1:4" ht="11.25">
      <c r="A105" s="102" t="s">
        <v>60</v>
      </c>
      <c r="B105" s="118">
        <v>0.1538863351441705</v>
      </c>
      <c r="C105" s="104">
        <v>5823</v>
      </c>
      <c r="D105" s="147">
        <v>3.9531568228105907</v>
      </c>
    </row>
    <row r="106" spans="1:4" ht="11.25">
      <c r="A106" s="113" t="s">
        <v>61</v>
      </c>
      <c r="B106" s="118">
        <v>0.03416213957375679</v>
      </c>
      <c r="C106" s="104">
        <v>1558</v>
      </c>
      <c r="D106" s="147">
        <v>4.764525993883792</v>
      </c>
    </row>
    <row r="107" spans="1:4" ht="11.25">
      <c r="A107" s="100" t="s">
        <v>1</v>
      </c>
      <c r="B107" s="117"/>
      <c r="C107" s="101"/>
      <c r="D107" s="125"/>
    </row>
    <row r="108" spans="1:4" ht="11.25">
      <c r="A108" s="102" t="s">
        <v>63</v>
      </c>
      <c r="B108" s="111">
        <v>0.7265984120351023</v>
      </c>
      <c r="C108" s="148">
        <v>23232</v>
      </c>
      <c r="D108" s="147">
        <v>3.3403306973400433</v>
      </c>
    </row>
    <row r="109" spans="1:4" ht="11.25">
      <c r="A109" s="102" t="s">
        <v>64</v>
      </c>
      <c r="B109" s="111">
        <v>0.22941913915587128</v>
      </c>
      <c r="C109" s="148">
        <v>8997</v>
      </c>
      <c r="D109" s="147">
        <v>4.0969945355191255</v>
      </c>
    </row>
    <row r="110" spans="1:4" ht="11.25">
      <c r="A110" s="102" t="s">
        <v>65</v>
      </c>
      <c r="B110" s="111">
        <v>0.0325950689511074</v>
      </c>
      <c r="C110" s="148">
        <v>1694</v>
      </c>
      <c r="D110" s="147">
        <v>5.42948717948718</v>
      </c>
    </row>
    <row r="111" spans="1:4" ht="11.25">
      <c r="A111" s="102" t="s">
        <v>66</v>
      </c>
      <c r="B111" s="111">
        <v>0.01138737985791893</v>
      </c>
      <c r="C111" s="148">
        <v>549</v>
      </c>
      <c r="D111" s="147">
        <v>5.036697247706422</v>
      </c>
    </row>
    <row r="112" spans="1:4" ht="11.25">
      <c r="A112" s="100" t="s">
        <v>67</v>
      </c>
      <c r="B112" s="117"/>
      <c r="C112" s="101"/>
      <c r="D112" s="125"/>
    </row>
    <row r="113" spans="1:4" ht="11.25">
      <c r="A113" s="102" t="s">
        <v>68</v>
      </c>
      <c r="B113" s="111">
        <v>0.7046594233180109</v>
      </c>
      <c r="C113" s="148">
        <v>23570</v>
      </c>
      <c r="D113" s="147">
        <v>3.4944403261675316</v>
      </c>
    </row>
    <row r="114" spans="1:4" ht="11.25">
      <c r="A114" s="102" t="s">
        <v>69</v>
      </c>
      <c r="B114" s="111">
        <v>0.26587964897618055</v>
      </c>
      <c r="C114" s="148">
        <v>9805</v>
      </c>
      <c r="D114" s="147">
        <v>3.8526522593320234</v>
      </c>
    </row>
    <row r="115" spans="1:4" ht="11.25">
      <c r="A115" s="102" t="s">
        <v>70</v>
      </c>
      <c r="B115" s="111">
        <v>0.01964061847053907</v>
      </c>
      <c r="C115" s="148">
        <v>751</v>
      </c>
      <c r="D115" s="147">
        <v>3.99468085106383</v>
      </c>
    </row>
    <row r="116" spans="1:4" ht="11.25">
      <c r="A116" s="102" t="s">
        <v>71</v>
      </c>
      <c r="B116" s="111">
        <v>0.009820309235269536</v>
      </c>
      <c r="C116" s="148">
        <v>346</v>
      </c>
      <c r="D116" s="147">
        <v>3.6808510638297873</v>
      </c>
    </row>
    <row r="117" spans="1:4" ht="11.25">
      <c r="A117" s="100" t="s">
        <v>72</v>
      </c>
      <c r="B117" s="117"/>
      <c r="C117" s="101"/>
      <c r="D117" s="125"/>
    </row>
    <row r="118" spans="1:4" ht="11.25">
      <c r="A118" s="102" t="s">
        <v>73</v>
      </c>
      <c r="B118" s="118">
        <v>0.8345173422482239</v>
      </c>
      <c r="C118" s="104">
        <v>28131</v>
      </c>
      <c r="D118" s="141">
        <v>3.521657486229344</v>
      </c>
    </row>
    <row r="119" spans="1:4" ht="11.25">
      <c r="A119" s="102" t="s">
        <v>74</v>
      </c>
      <c r="B119" s="118">
        <v>0.13205181780192227</v>
      </c>
      <c r="C119" s="104">
        <v>5072</v>
      </c>
      <c r="D119" s="141">
        <v>4.012658227848101</v>
      </c>
    </row>
    <row r="120" spans="1:4" ht="11.25">
      <c r="A120" s="102" t="s">
        <v>75</v>
      </c>
      <c r="B120" s="118">
        <v>0.016193063100710406</v>
      </c>
      <c r="C120" s="104">
        <v>635</v>
      </c>
      <c r="D120" s="141">
        <v>4.096774193548387</v>
      </c>
    </row>
    <row r="121" spans="1:4" ht="11.25">
      <c r="A121" s="134" t="s">
        <v>76</v>
      </c>
      <c r="B121" s="149">
        <v>0.017237776849143335</v>
      </c>
      <c r="C121" s="150">
        <v>634</v>
      </c>
      <c r="D121" s="151">
        <v>3.8424242424242423</v>
      </c>
    </row>
    <row r="122" spans="1:4" ht="11.25">
      <c r="A122" s="120"/>
      <c r="B122" s="120"/>
      <c r="C122" s="120"/>
      <c r="D122" s="120"/>
    </row>
    <row r="123" spans="1:4" ht="11.25">
      <c r="A123" s="120"/>
      <c r="B123" s="120"/>
      <c r="C123" s="120"/>
      <c r="D123" s="41" t="s">
        <v>49</v>
      </c>
    </row>
    <row r="124" spans="1:4" ht="11.25">
      <c r="A124" s="120"/>
      <c r="B124" s="120"/>
      <c r="C124" s="120"/>
      <c r="D124" s="120"/>
    </row>
  </sheetData>
  <sheetProtection/>
  <mergeCells count="2">
    <mergeCell ref="A1:D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karinee</dc:creator>
  <cp:keywords/>
  <dc:description/>
  <cp:lastModifiedBy>Laurent PELLET</cp:lastModifiedBy>
  <cp:lastPrinted>2013-11-22T20:09:54Z</cp:lastPrinted>
  <dcterms:created xsi:type="dcterms:W3CDTF">2013-10-21T18:31:30Z</dcterms:created>
  <dcterms:modified xsi:type="dcterms:W3CDTF">2014-01-16T00:11:25Z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