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90" windowWidth="14415" windowHeight="12105" firstSheet="1" activeTab="7"/>
  </bookViews>
  <sheets>
    <sheet name="Liste des tableaux" sheetId="1" r:id="rId1"/>
    <sheet name="Chiffres clés" sheetId="2" r:id="rId2"/>
    <sheet name="DIP1a" sheetId="3" r:id="rId3"/>
    <sheet name="DIP1b" sheetId="4" r:id="rId4"/>
    <sheet name="DIP2a" sheetId="5" r:id="rId5"/>
    <sheet name="DIP2b" sheetId="6" r:id="rId6"/>
    <sheet name="NIVETUD1a" sheetId="7" r:id="rId7"/>
    <sheet name="NIVETUD1b" sheetId="8" r:id="rId8"/>
    <sheet name="NIVETUD2a" sheetId="9" r:id="rId9"/>
    <sheet name="NIVETUD2b" sheetId="10" r:id="rId10"/>
  </sheets>
  <definedNames>
    <definedName name="_xlfn.COMPOUNDVALUE" hidden="1">#NAME?</definedName>
    <definedName name="_xlfn.CUBEMEMBER" hidden="1">#NAME?</definedName>
    <definedName name="_xlfn.CUBESET" hidden="1">#NAME?</definedName>
    <definedName name="_xlfn.CUBEVALUE" hidden="1">#NAME?</definedName>
  </definedNames>
  <calcPr fullCalcOnLoad="1"/>
</workbook>
</file>

<file path=xl/sharedStrings.xml><?xml version="1.0" encoding="utf-8"?>
<sst xmlns="http://schemas.openxmlformats.org/spreadsheetml/2006/main" count="43" uniqueCount="34">
  <si>
    <t>Chiffres clés sur les diplômes et les niveaux d'études</t>
  </si>
  <si>
    <t>Dernier diplôme obtenu</t>
  </si>
  <si>
    <t xml:space="preserve">Source : Recensement de la population 2012 - ISPF - INSEE </t>
  </si>
  <si>
    <t>Niveau d'études</t>
  </si>
  <si>
    <t>DIP1a - Population de 15 ans et plus par dernier diplôme obtenu
selon le sexe et l'âge quinquennal</t>
  </si>
  <si>
    <t>DIP1b - Population de 15 ans et plus par dernier diplôme obtenu
selon la subdivision de résidence et l'âge décennal</t>
  </si>
  <si>
    <t>DIP2a - Population de 15 ans et plus par dernier diplôme obtenu
selon le lieu de naissance et l'âge décennal</t>
  </si>
  <si>
    <t>DIP2b - Population de 15 ans et plus par dernier diplôme obtenu
selon la subdivision et commune de résidence</t>
  </si>
  <si>
    <t>NIVETUD1a - Population de 15 ans et plus par niveau d'études
selon le sexe et l'âge quinquennal</t>
  </si>
  <si>
    <t>NIVETUD1b - Population de 15 ans et plus par niveau d'études
selon la subdivision de résidence et l'âge décennal</t>
  </si>
  <si>
    <t>NIVETUD2a - Population de 15 ans et plus par niveau d'études
selon le lieu de naissance et l'âge décennal</t>
  </si>
  <si>
    <t>NIVETUD2b - Population de 15 ans et plus par niveau d'études
selon la subdivision et commune de résidence</t>
  </si>
  <si>
    <t>Diplômes et niveaux d'études</t>
  </si>
  <si>
    <t>Listes des tableaux</t>
  </si>
  <si>
    <t>Chiffres clés sur les diplômes et les niveaux d'études selon le sexe et l'âge quinquennal</t>
  </si>
  <si>
    <t>Chiffres clés</t>
  </si>
  <si>
    <t>POPULATION DE 15 ANS ET PLUS SELON LE DERNIER DIPLÔME OBTENU</t>
  </si>
  <si>
    <t>DIP1a - Selon le sexe et l'âge quinquennal</t>
  </si>
  <si>
    <t>DIP1b - Selon la subdivision de résidence et l'âge décennal</t>
  </si>
  <si>
    <t>DIP2a - Selon le lieu de naissance et l'âge décennal</t>
  </si>
  <si>
    <t>DIP2b - Selon la subdivision et commune de résidence</t>
  </si>
  <si>
    <t>POPULATION DE 15 ANS ET PLUS SELON LE NIVEAU D'ETUDES</t>
  </si>
  <si>
    <t>NIVETUD1a - Selon le sexe et l'âge quinquennal</t>
  </si>
  <si>
    <t>NIVETUD1a</t>
  </si>
  <si>
    <t>NIVETUD1b - Selon la subdivision de résidence et l'âge décennal</t>
  </si>
  <si>
    <t>NIVETUD1b</t>
  </si>
  <si>
    <t>NIVETUD2a - Selon le lieu de naissance et l'âge décennal</t>
  </si>
  <si>
    <t>NIVETUD2a</t>
  </si>
  <si>
    <t>NIVETUD2b - Selon la subdivision et commune de résidence</t>
  </si>
  <si>
    <t>NIVETUD2b</t>
  </si>
  <si>
    <t>DIP2b</t>
  </si>
  <si>
    <t>DIP2a</t>
  </si>
  <si>
    <t>DIP1b</t>
  </si>
  <si>
    <t>DIP1a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</si>
</sst>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23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63"/>
      <name val="Calibri"/>
      <family val="2"/>
    </font>
    <font>
      <b/>
      <sz val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8"/>
      <name val="Calibri"/>
      <family val="2"/>
    </font>
    <font>
      <b/>
      <i/>
      <sz val="8"/>
      <color indexed="23"/>
      <name val="Calibri"/>
      <family val="2"/>
    </font>
    <font>
      <b/>
      <i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color theme="1" tint="0.49998000264167786"/>
      <name val="Calibri"/>
      <family val="2"/>
    </font>
    <font>
      <b/>
      <sz val="14"/>
      <color theme="1" tint="0.15000000596046448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 style="thin">
        <color theme="6" tint="0.5999900102615356"/>
      </top>
      <bottom/>
    </border>
    <border>
      <left/>
      <right style="thin">
        <color theme="1" tint="0.49998000264167786"/>
      </right>
      <top style="thin">
        <color theme="6" tint="0.5999900102615356"/>
      </top>
      <bottom/>
    </border>
    <border>
      <left style="thin">
        <color theme="1" tint="0.49998000264167786"/>
      </left>
      <right/>
      <top/>
      <bottom/>
    </border>
    <border>
      <left/>
      <right style="thin">
        <color theme="1" tint="0.49998000264167786"/>
      </right>
      <top/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/>
      <right/>
      <top style="thin">
        <color theme="1" tint="0.49998000264167786"/>
      </top>
      <bottom/>
    </border>
    <border>
      <left/>
      <right/>
      <top/>
      <bottom style="thin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64" fontId="49" fillId="33" borderId="10" xfId="46" applyNumberFormat="1" applyFont="1" applyFill="1" applyBorder="1" applyAlignment="1">
      <alignment vertical="center"/>
    </xf>
    <xf numFmtId="164" fontId="49" fillId="33" borderId="11" xfId="46" applyNumberFormat="1" applyFont="1" applyFill="1" applyBorder="1" applyAlignment="1">
      <alignment vertical="center"/>
    </xf>
    <xf numFmtId="164" fontId="50" fillId="10" borderId="12" xfId="46" applyNumberFormat="1" applyFont="1" applyFill="1" applyBorder="1" applyAlignment="1">
      <alignment vertical="center"/>
    </xf>
    <xf numFmtId="164" fontId="50" fillId="10" borderId="13" xfId="46" applyNumberFormat="1" applyFont="1" applyFill="1" applyBorder="1" applyAlignment="1">
      <alignment horizontal="right" vertical="center"/>
    </xf>
    <xf numFmtId="164" fontId="51" fillId="0" borderId="14" xfId="0" applyNumberFormat="1" applyFont="1" applyBorder="1" applyAlignment="1">
      <alignment horizontal="left" vertical="center"/>
    </xf>
    <xf numFmtId="164" fontId="51" fillId="0" borderId="15" xfId="0" applyNumberFormat="1" applyFont="1" applyBorder="1" applyAlignment="1">
      <alignment horizontal="right" vertical="center"/>
    </xf>
    <xf numFmtId="164" fontId="51" fillId="0" borderId="14" xfId="0" applyNumberFormat="1" applyFont="1" applyBorder="1" applyAlignment="1">
      <alignment horizontal="left" vertical="center" indent="1"/>
    </xf>
    <xf numFmtId="164" fontId="51" fillId="0" borderId="0" xfId="0" applyNumberFormat="1" applyFont="1" applyBorder="1" applyAlignment="1">
      <alignment horizontal="left" vertical="center"/>
    </xf>
    <xf numFmtId="0" fontId="52" fillId="0" borderId="0" xfId="0" applyFont="1" applyAlignment="1">
      <alignment horizontal="right" vertical="center"/>
    </xf>
    <xf numFmtId="164" fontId="49" fillId="33" borderId="14" xfId="46" applyNumberFormat="1" applyFont="1" applyFill="1" applyBorder="1" applyAlignment="1">
      <alignment vertical="center"/>
    </xf>
    <xf numFmtId="164" fontId="51" fillId="0" borderId="16" xfId="0" applyNumberFormat="1" applyFont="1" applyBorder="1" applyAlignment="1">
      <alignment horizontal="left" vertical="center"/>
    </xf>
    <xf numFmtId="164" fontId="51" fillId="0" borderId="17" xfId="0" applyNumberFormat="1" applyFont="1" applyBorder="1" applyAlignment="1">
      <alignment horizontal="right" vertical="center"/>
    </xf>
    <xf numFmtId="0" fontId="51" fillId="0" borderId="0" xfId="0" applyFont="1" applyAlignment="1">
      <alignment/>
    </xf>
    <xf numFmtId="164" fontId="49" fillId="33" borderId="18" xfId="46" applyNumberFormat="1" applyFont="1" applyFill="1" applyBorder="1" applyAlignment="1">
      <alignment horizontal="center" vertical="center" wrapText="1"/>
    </xf>
    <xf numFmtId="164" fontId="49" fillId="33" borderId="11" xfId="46" applyNumberFormat="1" applyFont="1" applyFill="1" applyBorder="1" applyAlignment="1">
      <alignment horizontal="center" vertical="center" wrapText="1"/>
    </xf>
    <xf numFmtId="164" fontId="50" fillId="10" borderId="14" xfId="46" applyNumberFormat="1" applyFont="1" applyFill="1" applyBorder="1" applyAlignment="1">
      <alignment vertical="center"/>
    </xf>
    <xf numFmtId="3" fontId="50" fillId="10" borderId="0" xfId="46" applyNumberFormat="1" applyFont="1" applyFill="1" applyBorder="1" applyAlignment="1">
      <alignment horizontal="right" vertical="center"/>
    </xf>
    <xf numFmtId="3" fontId="50" fillId="10" borderId="15" xfId="46" applyNumberFormat="1" applyFont="1" applyFill="1" applyBorder="1" applyAlignment="1">
      <alignment horizontal="right" vertical="center"/>
    </xf>
    <xf numFmtId="3" fontId="51" fillId="0" borderId="0" xfId="0" applyNumberFormat="1" applyFont="1" applyBorder="1" applyAlignment="1">
      <alignment horizontal="right" vertical="center"/>
    </xf>
    <xf numFmtId="3" fontId="51" fillId="0" borderId="15" xfId="0" applyNumberFormat="1" applyFont="1" applyBorder="1" applyAlignment="1">
      <alignment horizontal="right" vertical="center"/>
    </xf>
    <xf numFmtId="3" fontId="51" fillId="0" borderId="19" xfId="0" applyNumberFormat="1" applyFont="1" applyBorder="1" applyAlignment="1">
      <alignment horizontal="right" vertical="center"/>
    </xf>
    <xf numFmtId="3" fontId="51" fillId="0" borderId="17" xfId="0" applyNumberFormat="1" applyFont="1" applyBorder="1" applyAlignment="1">
      <alignment horizontal="right" vertical="center"/>
    </xf>
    <xf numFmtId="164" fontId="51" fillId="0" borderId="0" xfId="0" applyNumberFormat="1" applyFont="1" applyAlignment="1">
      <alignment horizontal="left" indent="1"/>
    </xf>
    <xf numFmtId="3" fontId="51" fillId="0" borderId="0" xfId="0" applyNumberFormat="1" applyFont="1" applyAlignment="1">
      <alignment/>
    </xf>
    <xf numFmtId="164" fontId="49" fillId="33" borderId="10" xfId="46" applyNumberFormat="1" applyFont="1" applyFill="1" applyBorder="1" applyAlignment="1">
      <alignment vertical="center" wrapText="1"/>
    </xf>
    <xf numFmtId="164" fontId="51" fillId="0" borderId="0" xfId="0" applyNumberFormat="1" applyFont="1" applyBorder="1" applyAlignment="1">
      <alignment horizontal="right" vertical="center"/>
    </xf>
    <xf numFmtId="3" fontId="51" fillId="0" borderId="0" xfId="0" applyNumberFormat="1" applyFont="1" applyFill="1" applyBorder="1" applyAlignment="1">
      <alignment horizontal="right" vertical="center"/>
    </xf>
    <xf numFmtId="3" fontId="51" fillId="0" borderId="15" xfId="0" applyNumberFormat="1" applyFont="1" applyFill="1" applyBorder="1" applyAlignment="1">
      <alignment horizontal="right" vertical="center"/>
    </xf>
    <xf numFmtId="3" fontId="51" fillId="0" borderId="0" xfId="46" applyNumberFormat="1" applyFont="1" applyFill="1" applyBorder="1" applyAlignment="1">
      <alignment horizontal="right" vertical="center"/>
    </xf>
    <xf numFmtId="3" fontId="51" fillId="0" borderId="15" xfId="46" applyNumberFormat="1" applyFont="1" applyFill="1" applyBorder="1" applyAlignment="1">
      <alignment horizontal="right" vertical="center"/>
    </xf>
    <xf numFmtId="3" fontId="51" fillId="0" borderId="19" xfId="0" applyNumberFormat="1" applyFont="1" applyFill="1" applyBorder="1" applyAlignment="1">
      <alignment horizontal="right" vertical="center"/>
    </xf>
    <xf numFmtId="3" fontId="51" fillId="0" borderId="17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47" fillId="0" borderId="0" xfId="0" applyFont="1" applyAlignment="1">
      <alignment horizontal="left"/>
    </xf>
    <xf numFmtId="0" fontId="47" fillId="0" borderId="0" xfId="0" applyNumberFormat="1" applyFont="1" applyAlignment="1">
      <alignment/>
    </xf>
    <xf numFmtId="0" fontId="50" fillId="0" borderId="0" xfId="0" applyFont="1" applyFill="1" applyAlignment="1">
      <alignment vertical="center"/>
    </xf>
    <xf numFmtId="0" fontId="0" fillId="0" borderId="0" xfId="0" applyFont="1" applyAlignment="1">
      <alignment horizontal="left" indent="1"/>
    </xf>
    <xf numFmtId="0" fontId="0" fillId="0" borderId="0" xfId="0" applyNumberFormat="1" applyFont="1" applyAlignment="1">
      <alignment/>
    </xf>
    <xf numFmtId="0" fontId="51" fillId="0" borderId="0" xfId="0" applyFont="1" applyAlignment="1">
      <alignment vertical="center"/>
    </xf>
    <xf numFmtId="164" fontId="49" fillId="33" borderId="10" xfId="46" applyNumberFormat="1" applyFont="1" applyFill="1" applyBorder="1" applyAlignment="1">
      <alignment horizontal="center" vertical="center"/>
    </xf>
    <xf numFmtId="164" fontId="49" fillId="33" borderId="11" xfId="46" applyNumberFormat="1" applyFont="1" applyFill="1" applyBorder="1" applyAlignment="1">
      <alignment horizontal="center" vertical="center"/>
    </xf>
    <xf numFmtId="164" fontId="53" fillId="0" borderId="0" xfId="46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164" fontId="54" fillId="33" borderId="0" xfId="46" applyNumberFormat="1" applyFont="1" applyFill="1" applyAlignment="1" quotePrefix="1">
      <alignment horizontal="center" vertical="center" wrapText="1"/>
    </xf>
    <xf numFmtId="164" fontId="7" fillId="33" borderId="0" xfId="46" applyNumberFormat="1" applyFont="1" applyFill="1" applyAlignment="1" quotePrefix="1">
      <alignment horizontal="center" vertical="center" wrapText="1"/>
    </xf>
    <xf numFmtId="0" fontId="55" fillId="0" borderId="0" xfId="0" applyFont="1" applyAlignment="1">
      <alignment vertical="center"/>
    </xf>
    <xf numFmtId="164" fontId="10" fillId="34" borderId="0" xfId="0" applyNumberFormat="1" applyFont="1" applyFill="1" applyAlignment="1">
      <alignment vertical="center" wrapText="1"/>
    </xf>
    <xf numFmtId="164" fontId="14" fillId="34" borderId="0" xfId="45" applyNumberFormat="1" applyFont="1" applyFill="1" applyAlignment="1" applyProtection="1">
      <alignment vertical="center" wrapText="1"/>
      <protection/>
    </xf>
    <xf numFmtId="164" fontId="10" fillId="34" borderId="0" xfId="0" applyNumberFormat="1" applyFont="1" applyFill="1" applyAlignment="1">
      <alignment vertical="center"/>
    </xf>
    <xf numFmtId="3" fontId="51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164" fontId="15" fillId="0" borderId="0" xfId="0" applyNumberFormat="1" applyFont="1" applyBorder="1" applyAlignment="1">
      <alignment horizontal="left" wrapText="1"/>
    </xf>
    <xf numFmtId="164" fontId="7" fillId="0" borderId="0" xfId="0" applyNumberFormat="1" applyFont="1" applyAlignment="1">
      <alignment horizontal="center" vertical="center" wrapText="1"/>
    </xf>
    <xf numFmtId="164" fontId="56" fillId="0" borderId="0" xfId="0" applyNumberFormat="1" applyFont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9" sqref="A19"/>
    </sheetView>
  </sheetViews>
  <sheetFormatPr defaultColWidth="11.421875" defaultRowHeight="15"/>
  <cols>
    <col min="1" max="1" width="63.7109375" style="14" customWidth="1"/>
    <col min="2" max="2" width="11.421875" style="44" bestFit="1" customWidth="1"/>
    <col min="3" max="16384" width="11.421875" style="14" customWidth="1"/>
  </cols>
  <sheetData>
    <row r="1" ht="48.75" customHeight="1">
      <c r="A1" s="43" t="s">
        <v>12</v>
      </c>
    </row>
    <row r="2" spans="1:2" s="47" customFormat="1" ht="12.75">
      <c r="A2" s="45" t="s">
        <v>13</v>
      </c>
      <c r="B2" s="46"/>
    </row>
    <row r="3" spans="1:2" s="40" customFormat="1" ht="11.25">
      <c r="A3" s="48" t="s">
        <v>14</v>
      </c>
      <c r="B3" s="49" t="s">
        <v>15</v>
      </c>
    </row>
    <row r="4" spans="1:2" s="40" customFormat="1" ht="18.75" customHeight="1">
      <c r="A4" s="53" t="s">
        <v>16</v>
      </c>
      <c r="B4" s="53"/>
    </row>
    <row r="5" spans="1:2" s="40" customFormat="1" ht="11.25">
      <c r="A5" s="50" t="s">
        <v>17</v>
      </c>
      <c r="B5" s="49" t="s">
        <v>33</v>
      </c>
    </row>
    <row r="6" spans="1:2" s="40" customFormat="1" ht="11.25">
      <c r="A6" s="50" t="s">
        <v>18</v>
      </c>
      <c r="B6" s="49" t="s">
        <v>32</v>
      </c>
    </row>
    <row r="7" spans="1:2" s="40" customFormat="1" ht="11.25">
      <c r="A7" s="50" t="s">
        <v>19</v>
      </c>
      <c r="B7" s="49" t="s">
        <v>31</v>
      </c>
    </row>
    <row r="8" spans="1:2" s="40" customFormat="1" ht="11.25">
      <c r="A8" s="50" t="s">
        <v>20</v>
      </c>
      <c r="B8" s="49" t="s">
        <v>30</v>
      </c>
    </row>
    <row r="9" spans="1:2" s="40" customFormat="1" ht="24.75" customHeight="1">
      <c r="A9" s="53" t="s">
        <v>21</v>
      </c>
      <c r="B9" s="53"/>
    </row>
    <row r="10" spans="1:2" s="40" customFormat="1" ht="11.25">
      <c r="A10" s="48" t="s">
        <v>22</v>
      </c>
      <c r="B10" s="49" t="s">
        <v>23</v>
      </c>
    </row>
    <row r="11" spans="1:5" s="40" customFormat="1" ht="11.25">
      <c r="A11" s="48" t="s">
        <v>24</v>
      </c>
      <c r="B11" s="49" t="s">
        <v>25</v>
      </c>
      <c r="E11" s="51"/>
    </row>
    <row r="12" spans="1:2" s="40" customFormat="1" ht="11.25">
      <c r="A12" s="48" t="s">
        <v>26</v>
      </c>
      <c r="B12" s="49" t="s">
        <v>27</v>
      </c>
    </row>
    <row r="13" spans="1:2" s="40" customFormat="1" ht="11.25">
      <c r="A13" s="48" t="s">
        <v>28</v>
      </c>
      <c r="B13" s="49" t="s">
        <v>29</v>
      </c>
    </row>
    <row r="15" ht="11.25">
      <c r="B15" s="52"/>
    </row>
  </sheetData>
  <sheetProtection/>
  <mergeCells count="2">
    <mergeCell ref="A4:B4"/>
    <mergeCell ref="A9:B9"/>
  </mergeCells>
  <hyperlinks>
    <hyperlink ref="B3" location="'Chiffres clés'!A1" display="'Chiffres clés'!A1"/>
    <hyperlink ref="B10" location="NIVETUD1a!A1" display="NIVETUD1a"/>
    <hyperlink ref="B11" location="NIVETUD1b!A1" display="NIVETUD1b"/>
    <hyperlink ref="B12" location="NIVETUD2a!A1" display="NIVETUD2a"/>
    <hyperlink ref="B13" location="NIVETUD2b!A1" display="NIVETUD2b"/>
    <hyperlink ref="B5" location="DIP1a!A1" display="DIP1a!A1"/>
    <hyperlink ref="B6" location="DIP1b!A1" display="DIP1b!A1"/>
    <hyperlink ref="B7" location="DIP2a!A1" display="DIP2a!A1"/>
    <hyperlink ref="B8" location="DIP2b!A1" display="DIP2b!A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8"/>
  <sheetViews>
    <sheetView showGridLines="0" zoomScalePageLayoutView="0" workbookViewId="0" topLeftCell="A1">
      <selection activeCell="A1" sqref="A1:H1"/>
    </sheetView>
  </sheetViews>
  <sheetFormatPr defaultColWidth="11.421875" defaultRowHeight="15"/>
  <cols>
    <col min="1" max="1" width="18.00390625" style="0" customWidth="1"/>
    <col min="2" max="2" width="7.421875" style="0" customWidth="1"/>
    <col min="3" max="3" width="8.28125" style="0" customWidth="1"/>
    <col min="4" max="4" width="7.8515625" style="0" customWidth="1"/>
    <col min="5" max="5" width="6.28125" style="0" customWidth="1"/>
    <col min="6" max="6" width="7.28125" style="0" customWidth="1"/>
    <col min="7" max="7" width="5.421875" style="0" customWidth="1"/>
    <col min="8" max="8" width="11.00390625" style="0" customWidth="1"/>
    <col min="9" max="9" width="12.57421875" style="0" bestFit="1" customWidth="1"/>
  </cols>
  <sheetData>
    <row r="1" spans="1:8" ht="45" customHeight="1">
      <c r="A1" s="55" t="s">
        <v>11</v>
      </c>
      <c r="B1" s="55"/>
      <c r="C1" s="55"/>
      <c r="D1" s="55"/>
      <c r="E1" s="55"/>
      <c r="F1" s="55"/>
      <c r="G1" s="55"/>
      <c r="H1" s="55"/>
    </row>
    <row r="2" spans="1:8" ht="45">
      <c r="A2" s="26" t="str">
        <f>_xlfn.CUBEMEMBER("walle RP2012","[Measures].[Individus de 15 ans et plus]","Subdivision et commune")</f>
        <v>Subdivision et commune</v>
      </c>
      <c r="B2" s="15" t="str">
        <f>_xlfn.CUBEMEMBER("walle RP2012","[Individus].[Dernier Diplôme Obtenu].[All]","Ensemble")</f>
        <v>Ensemble</v>
      </c>
      <c r="C2" s="15" t="str">
        <f>_xlfn.CUBEMEMBER("walle RP2012","[Individus].[Niveau études].&amp;[1]")</f>
        <v>Aucune scolarité</v>
      </c>
      <c r="D2" s="15" t="str">
        <f>_xlfn.CUBEMEMBER("walle RP2012","[Individus].[Niveau études].&amp;[2]")</f>
        <v>Ecole primaire</v>
      </c>
      <c r="E2" s="15" t="str">
        <f>_xlfn.CUBEMEMBER("walle RP2012","[Individus].[Niveau études].&amp;[3]")</f>
        <v>Collège</v>
      </c>
      <c r="F2" s="15" t="str">
        <f>_xlfn.CUBEMEMBER("walle RP2012","[Individus].[Niveau études].&amp;[4]")</f>
        <v>CAP-BEP</v>
      </c>
      <c r="G2" s="15" t="str">
        <f>_xlfn.CUBEMEMBER("walle RP2012","[Individus].[Niveau études].&amp;[5]")</f>
        <v>Lycée</v>
      </c>
      <c r="H2" s="16" t="str">
        <f>_xlfn.CUBEMEMBER("walle RP2012","[Individus].[Niveau études].&amp;[6]")</f>
        <v>Etudes supérieures (facultés, IUT..).</v>
      </c>
    </row>
    <row r="3" spans="1:8" ht="15">
      <c r="A3" s="17" t="str">
        <f>_xlfn.CUBEMEMBER("walle RP2012","[Individus].[Age quinquennal].[All]","Ensemble")</f>
        <v>Ensemble</v>
      </c>
      <c r="B3" s="18">
        <f aca="true" t="shared" si="0" ref="B3:H3">_xlfn.CUBEVALUE("walle RP2012",$A$2,$A3,B$2)</f>
        <v>202825</v>
      </c>
      <c r="C3" s="18">
        <f t="shared" si="0"/>
        <v>7386</v>
      </c>
      <c r="D3" s="18">
        <f t="shared" si="0"/>
        <v>35024</v>
      </c>
      <c r="E3" s="18">
        <f t="shared" si="0"/>
        <v>50412</v>
      </c>
      <c r="F3" s="18">
        <f t="shared" si="0"/>
        <v>39378</v>
      </c>
      <c r="G3" s="18">
        <f t="shared" si="0"/>
        <v>34557</v>
      </c>
      <c r="H3" s="19">
        <f t="shared" si="0"/>
        <v>36068</v>
      </c>
    </row>
    <row r="4" spans="1:17" s="34" customFormat="1" ht="11.25" customHeight="1">
      <c r="A4" s="6"/>
      <c r="B4" s="27"/>
      <c r="C4" s="27"/>
      <c r="D4" s="27"/>
      <c r="E4" s="27"/>
      <c r="F4" s="27"/>
      <c r="G4" s="27"/>
      <c r="H4" s="7"/>
      <c r="I4"/>
      <c r="J4"/>
      <c r="K4"/>
      <c r="L4"/>
      <c r="M4"/>
      <c r="N4"/>
      <c r="O4"/>
      <c r="P4"/>
      <c r="Q4"/>
    </row>
    <row r="5" spans="1:17" s="37" customFormat="1" ht="11.25" customHeight="1">
      <c r="A5" s="17" t="str">
        <f>_xlfn.CUBEMEMBER("walle RP2012","[Geographie].[Subdivision].&amp;[1]")</f>
        <v>Iles Du Vent</v>
      </c>
      <c r="B5" s="18">
        <f>_xlfn.CUBEVALUE("walle RP2012",$A$2,$A5,B$2)</f>
        <v>152789</v>
      </c>
      <c r="C5" s="18">
        <f aca="true" t="shared" si="1" ref="B5:H20">_xlfn.CUBEVALUE("walle RP2012",$A$2,$A5,C$2)</f>
        <v>5130</v>
      </c>
      <c r="D5" s="18">
        <f t="shared" si="1"/>
        <v>23620</v>
      </c>
      <c r="E5" s="18">
        <f t="shared" si="1"/>
        <v>35872</v>
      </c>
      <c r="F5" s="18">
        <f t="shared" si="1"/>
        <v>28673</v>
      </c>
      <c r="G5" s="18">
        <f t="shared" si="1"/>
        <v>27882</v>
      </c>
      <c r="H5" s="19">
        <f t="shared" si="1"/>
        <v>31612</v>
      </c>
      <c r="I5" s="35"/>
      <c r="J5" s="36"/>
      <c r="K5" s="36"/>
      <c r="L5" s="36"/>
      <c r="M5" s="36"/>
      <c r="N5" s="36"/>
      <c r="O5" s="36"/>
      <c r="P5" s="36"/>
      <c r="Q5" s="36"/>
    </row>
    <row r="6" spans="1:17" s="34" customFormat="1" ht="11.25" customHeight="1">
      <c r="A6" s="6" t="str">
        <f>_xlfn.CUBEMEMBER("walle RP2012",{"[Geographie].[Subdivision].&amp;[1]","[Geographie].[Commune].&amp;[12]"})</f>
        <v>Arue</v>
      </c>
      <c r="B6" s="28">
        <f>_xlfn.CUBEVALUE("walle RP2012",$A$2,$A6,B$2)</f>
        <v>7347</v>
      </c>
      <c r="C6" s="28">
        <f t="shared" si="1"/>
        <v>204</v>
      </c>
      <c r="D6" s="28">
        <f t="shared" si="1"/>
        <v>941</v>
      </c>
      <c r="E6" s="28">
        <f t="shared" si="1"/>
        <v>1332</v>
      </c>
      <c r="F6" s="28">
        <f t="shared" si="1"/>
        <v>1403</v>
      </c>
      <c r="G6" s="28">
        <f t="shared" si="1"/>
        <v>1379</v>
      </c>
      <c r="H6" s="29">
        <f t="shared" si="1"/>
        <v>2088</v>
      </c>
      <c r="I6" s="38"/>
      <c r="J6" s="39"/>
      <c r="K6" s="39"/>
      <c r="L6" s="39"/>
      <c r="M6" s="39"/>
      <c r="N6" s="39"/>
      <c r="O6" s="39"/>
      <c r="P6" s="39"/>
      <c r="Q6" s="39"/>
    </row>
    <row r="7" spans="1:17" s="34" customFormat="1" ht="11.25" customHeight="1">
      <c r="A7" s="6" t="str">
        <f>_xlfn.CUBEMEMBER("walle RP2012",{"[Geographie].[Subdivision].&amp;[1]","[Geographie].[Commune].&amp;[15]"})</f>
        <v>Faaa</v>
      </c>
      <c r="B7" s="28">
        <f t="shared" si="1"/>
        <v>22586</v>
      </c>
      <c r="C7" s="28">
        <f t="shared" si="1"/>
        <v>814</v>
      </c>
      <c r="D7" s="28">
        <f t="shared" si="1"/>
        <v>3579</v>
      </c>
      <c r="E7" s="28">
        <f t="shared" si="1"/>
        <v>5279</v>
      </c>
      <c r="F7" s="28">
        <f t="shared" si="1"/>
        <v>4148</v>
      </c>
      <c r="G7" s="28">
        <f t="shared" si="1"/>
        <v>4175</v>
      </c>
      <c r="H7" s="29">
        <f t="shared" si="1"/>
        <v>4591</v>
      </c>
      <c r="I7" s="38"/>
      <c r="J7" s="39"/>
      <c r="K7" s="39"/>
      <c r="L7" s="39"/>
      <c r="M7" s="39"/>
      <c r="N7" s="39"/>
      <c r="O7" s="39"/>
      <c r="P7" s="39"/>
      <c r="Q7" s="39"/>
    </row>
    <row r="8" spans="1:17" s="34" customFormat="1" ht="11.25" customHeight="1">
      <c r="A8" s="6" t="str">
        <f>_xlfn.CUBEMEMBER("walle RP2012",{"[Geographie].[Subdivision].&amp;[1]","[Geographie].[Commune].&amp;[22]"})</f>
        <v>Hitiaa O Te Ra</v>
      </c>
      <c r="B8" s="28">
        <f t="shared" si="1"/>
        <v>7152</v>
      </c>
      <c r="C8" s="28">
        <f t="shared" si="1"/>
        <v>267</v>
      </c>
      <c r="D8" s="28">
        <f t="shared" si="1"/>
        <v>1540</v>
      </c>
      <c r="E8" s="28">
        <f t="shared" si="1"/>
        <v>1871</v>
      </c>
      <c r="F8" s="28">
        <f t="shared" si="1"/>
        <v>1644</v>
      </c>
      <c r="G8" s="28">
        <f t="shared" si="1"/>
        <v>1163</v>
      </c>
      <c r="H8" s="29">
        <f t="shared" si="1"/>
        <v>667</v>
      </c>
      <c r="I8" s="38"/>
      <c r="J8" s="39"/>
      <c r="K8" s="39"/>
      <c r="L8" s="39"/>
      <c r="M8" s="39"/>
      <c r="N8" s="39"/>
      <c r="O8" s="39"/>
      <c r="P8" s="39"/>
      <c r="Q8" s="39"/>
    </row>
    <row r="9" spans="1:17" s="34" customFormat="1" ht="11.25" customHeight="1">
      <c r="A9" s="6" t="str">
        <f>_xlfn.CUBEMEMBER("walle RP2012",{"[Geographie].[Subdivision].&amp;[1]","[Geographie].[Commune].&amp;[25]"})</f>
        <v>Mahina</v>
      </c>
      <c r="B9" s="28">
        <f t="shared" si="1"/>
        <v>10845</v>
      </c>
      <c r="C9" s="28">
        <f t="shared" si="1"/>
        <v>447</v>
      </c>
      <c r="D9" s="28">
        <f t="shared" si="1"/>
        <v>1317</v>
      </c>
      <c r="E9" s="28">
        <f t="shared" si="1"/>
        <v>2256</v>
      </c>
      <c r="F9" s="28">
        <f t="shared" si="1"/>
        <v>2137</v>
      </c>
      <c r="G9" s="28">
        <f t="shared" si="1"/>
        <v>2230</v>
      </c>
      <c r="H9" s="29">
        <f t="shared" si="1"/>
        <v>2458</v>
      </c>
      <c r="I9" s="38"/>
      <c r="J9" s="39"/>
      <c r="K9" s="39"/>
      <c r="L9" s="39"/>
      <c r="M9" s="39"/>
      <c r="N9" s="39"/>
      <c r="O9" s="39"/>
      <c r="P9" s="39"/>
      <c r="Q9" s="39"/>
    </row>
    <row r="10" spans="1:17" s="34" customFormat="1" ht="11.25" customHeight="1">
      <c r="A10" s="6" t="str">
        <f>_xlfn.CUBEMEMBER("walle RP2012",{"[Geographie].[Subdivision].&amp;[1]","[Geographie].[Commune].&amp;[29]"})</f>
        <v>Moorea-Maiao</v>
      </c>
      <c r="B10" s="28">
        <f t="shared" si="1"/>
        <v>12936</v>
      </c>
      <c r="C10" s="28">
        <f t="shared" si="1"/>
        <v>323</v>
      </c>
      <c r="D10" s="28">
        <f t="shared" si="1"/>
        <v>2343</v>
      </c>
      <c r="E10" s="28">
        <f t="shared" si="1"/>
        <v>3937</v>
      </c>
      <c r="F10" s="28">
        <f t="shared" si="1"/>
        <v>2399</v>
      </c>
      <c r="G10" s="28">
        <f t="shared" si="1"/>
        <v>1930</v>
      </c>
      <c r="H10" s="29">
        <f t="shared" si="1"/>
        <v>2004</v>
      </c>
      <c r="I10" s="38"/>
      <c r="J10" s="39"/>
      <c r="K10" s="39"/>
      <c r="L10" s="39"/>
      <c r="M10" s="39"/>
      <c r="N10" s="39"/>
      <c r="O10" s="39"/>
      <c r="P10" s="39"/>
      <c r="Q10" s="39"/>
    </row>
    <row r="11" spans="1:17" s="34" customFormat="1" ht="11.25" customHeight="1">
      <c r="A11" s="6" t="str">
        <f>_xlfn.CUBEMEMBER("walle RP2012",{"[Geographie].[Subdivision].&amp;[1]","[Geographie].[Commune].&amp;[33]"})</f>
        <v>Paea</v>
      </c>
      <c r="B11" s="28">
        <f t="shared" si="1"/>
        <v>9431</v>
      </c>
      <c r="C11" s="28">
        <f t="shared" si="1"/>
        <v>348</v>
      </c>
      <c r="D11" s="28">
        <f t="shared" si="1"/>
        <v>1526</v>
      </c>
      <c r="E11" s="28">
        <f t="shared" si="1"/>
        <v>2284</v>
      </c>
      <c r="F11" s="28">
        <f t="shared" si="1"/>
        <v>1856</v>
      </c>
      <c r="G11" s="28">
        <f t="shared" si="1"/>
        <v>1967</v>
      </c>
      <c r="H11" s="29">
        <f t="shared" si="1"/>
        <v>1450</v>
      </c>
      <c r="I11" s="38"/>
      <c r="J11" s="39"/>
      <c r="K11" s="39"/>
      <c r="L11" s="39"/>
      <c r="M11" s="39"/>
      <c r="N11" s="39"/>
      <c r="O11" s="39"/>
      <c r="P11" s="39"/>
      <c r="Q11" s="39"/>
    </row>
    <row r="12" spans="1:17" s="34" customFormat="1" ht="11.25" customHeight="1">
      <c r="A12" s="6" t="str">
        <f>_xlfn.CUBEMEMBER("walle RP2012",{"[Geographie].[Subdivision].&amp;[1]","[Geographie].[Commune].&amp;[34]"})</f>
        <v>Papara</v>
      </c>
      <c r="B12" s="28">
        <f t="shared" si="1"/>
        <v>8311</v>
      </c>
      <c r="C12" s="28">
        <f t="shared" si="1"/>
        <v>206</v>
      </c>
      <c r="D12" s="28">
        <f t="shared" si="1"/>
        <v>1494</v>
      </c>
      <c r="E12" s="28">
        <f t="shared" si="1"/>
        <v>2423</v>
      </c>
      <c r="F12" s="28">
        <f t="shared" si="1"/>
        <v>1533</v>
      </c>
      <c r="G12" s="28">
        <f t="shared" si="1"/>
        <v>1501</v>
      </c>
      <c r="H12" s="29">
        <f t="shared" si="1"/>
        <v>1154</v>
      </c>
      <c r="I12" s="38"/>
      <c r="J12" s="39"/>
      <c r="K12" s="39"/>
      <c r="L12" s="39"/>
      <c r="M12" s="39"/>
      <c r="N12" s="39"/>
      <c r="O12" s="39"/>
      <c r="P12" s="39"/>
      <c r="Q12" s="39"/>
    </row>
    <row r="13" spans="1:17" s="34" customFormat="1" ht="11.25" customHeight="1">
      <c r="A13" s="6" t="str">
        <f>_xlfn.CUBEMEMBER("walle RP2012",{"[Geographie].[Subdivision].&amp;[1]","[Geographie].[Commune].&amp;[35]"})</f>
        <v>Papeete</v>
      </c>
      <c r="B13" s="28">
        <f t="shared" si="1"/>
        <v>19953</v>
      </c>
      <c r="C13" s="28">
        <f t="shared" si="1"/>
        <v>828</v>
      </c>
      <c r="D13" s="28">
        <f t="shared" si="1"/>
        <v>2891</v>
      </c>
      <c r="E13" s="28">
        <f t="shared" si="1"/>
        <v>4717</v>
      </c>
      <c r="F13" s="28">
        <f t="shared" si="1"/>
        <v>3608</v>
      </c>
      <c r="G13" s="28">
        <f t="shared" si="1"/>
        <v>3526</v>
      </c>
      <c r="H13" s="29">
        <f t="shared" si="1"/>
        <v>4383</v>
      </c>
      <c r="I13" s="38"/>
      <c r="J13" s="39"/>
      <c r="K13" s="39"/>
      <c r="L13" s="39"/>
      <c r="M13" s="39"/>
      <c r="N13" s="39"/>
      <c r="O13" s="39"/>
      <c r="P13" s="39"/>
      <c r="Q13" s="39"/>
    </row>
    <row r="14" spans="1:17" s="34" customFormat="1" ht="11.25" customHeight="1">
      <c r="A14" s="6" t="str">
        <f>_xlfn.CUBEMEMBER("walle RP2012",{"[Geographie].[Subdivision].&amp;[1]","[Geographie].[Commune].&amp;[36]"})</f>
        <v>Pirae</v>
      </c>
      <c r="B14" s="28">
        <f t="shared" si="1"/>
        <v>10976</v>
      </c>
      <c r="C14" s="28">
        <f t="shared" si="1"/>
        <v>374</v>
      </c>
      <c r="D14" s="28">
        <f t="shared" si="1"/>
        <v>1446</v>
      </c>
      <c r="E14" s="28">
        <f t="shared" si="1"/>
        <v>2323</v>
      </c>
      <c r="F14" s="28">
        <f t="shared" si="1"/>
        <v>1827</v>
      </c>
      <c r="G14" s="28">
        <f t="shared" si="1"/>
        <v>2025</v>
      </c>
      <c r="H14" s="29">
        <f t="shared" si="1"/>
        <v>2981</v>
      </c>
      <c r="I14" s="38"/>
      <c r="J14" s="39"/>
      <c r="K14" s="39"/>
      <c r="L14" s="39"/>
      <c r="M14" s="39"/>
      <c r="N14" s="39"/>
      <c r="O14" s="39"/>
      <c r="P14" s="39"/>
      <c r="Q14" s="39"/>
    </row>
    <row r="15" spans="1:17" s="34" customFormat="1" ht="11.25" customHeight="1">
      <c r="A15" s="6" t="str">
        <f>_xlfn.CUBEMEMBER("walle RP2012",{"[Geographie].[Subdivision].&amp;[1]","[Geographie].[Commune].&amp;[38]"})</f>
        <v>Punaauia</v>
      </c>
      <c r="B15" s="30">
        <f t="shared" si="1"/>
        <v>21394</v>
      </c>
      <c r="C15" s="30">
        <f t="shared" si="1"/>
        <v>597</v>
      </c>
      <c r="D15" s="30">
        <f t="shared" si="1"/>
        <v>2237</v>
      </c>
      <c r="E15" s="30">
        <f t="shared" si="1"/>
        <v>3803</v>
      </c>
      <c r="F15" s="30">
        <f t="shared" si="1"/>
        <v>3544</v>
      </c>
      <c r="G15" s="30">
        <f t="shared" si="1"/>
        <v>3964</v>
      </c>
      <c r="H15" s="31">
        <f t="shared" si="1"/>
        <v>7249</v>
      </c>
      <c r="I15" s="38"/>
      <c r="J15" s="39"/>
      <c r="K15" s="39"/>
      <c r="L15" s="39"/>
      <c r="M15" s="39"/>
      <c r="N15" s="39"/>
      <c r="O15" s="39"/>
      <c r="P15" s="39"/>
      <c r="Q15" s="39"/>
    </row>
    <row r="16" spans="1:17" s="34" customFormat="1" ht="11.25" customHeight="1">
      <c r="A16" s="6" t="str">
        <f>_xlfn.CUBEMEMBER("walle RP2012",{"[Geographie].[Subdivision].&amp;[1]","[Geographie].[Commune].&amp;[47]"})</f>
        <v>Taiarapu-Est</v>
      </c>
      <c r="B16" s="28">
        <f t="shared" si="1"/>
        <v>9176</v>
      </c>
      <c r="C16" s="28">
        <f t="shared" si="1"/>
        <v>334</v>
      </c>
      <c r="D16" s="28">
        <f t="shared" si="1"/>
        <v>1570</v>
      </c>
      <c r="E16" s="28">
        <f t="shared" si="1"/>
        <v>2333</v>
      </c>
      <c r="F16" s="28">
        <f t="shared" si="1"/>
        <v>2021</v>
      </c>
      <c r="G16" s="28">
        <f t="shared" si="1"/>
        <v>1723</v>
      </c>
      <c r="H16" s="29">
        <f t="shared" si="1"/>
        <v>1195</v>
      </c>
      <c r="I16" s="38"/>
      <c r="J16" s="39"/>
      <c r="K16" s="39"/>
      <c r="L16" s="39"/>
      <c r="M16" s="39"/>
      <c r="N16" s="39"/>
      <c r="O16" s="39"/>
      <c r="P16" s="39"/>
      <c r="Q16" s="39"/>
    </row>
    <row r="17" spans="1:17" s="34" customFormat="1" ht="11.25" customHeight="1">
      <c r="A17" s="6" t="str">
        <f>_xlfn.CUBEMEMBER("walle RP2012",{"[Geographie].[Subdivision].&amp;[1]","[Geographie].[Commune].&amp;[48]"})</f>
        <v>Taiarapu-Ouest</v>
      </c>
      <c r="B17" s="28">
        <f t="shared" si="1"/>
        <v>5731</v>
      </c>
      <c r="C17" s="28">
        <f t="shared" si="1"/>
        <v>182</v>
      </c>
      <c r="D17" s="28">
        <f t="shared" si="1"/>
        <v>1251</v>
      </c>
      <c r="E17" s="28">
        <f t="shared" si="1"/>
        <v>1501</v>
      </c>
      <c r="F17" s="28">
        <f t="shared" si="1"/>
        <v>1084</v>
      </c>
      <c r="G17" s="28">
        <f t="shared" si="1"/>
        <v>1027</v>
      </c>
      <c r="H17" s="29">
        <f t="shared" si="1"/>
        <v>686</v>
      </c>
      <c r="I17" s="38"/>
      <c r="J17" s="39"/>
      <c r="K17" s="39"/>
      <c r="L17" s="39"/>
      <c r="M17" s="39"/>
      <c r="N17" s="39"/>
      <c r="O17" s="39"/>
      <c r="P17" s="39"/>
      <c r="Q17" s="39"/>
    </row>
    <row r="18" spans="1:17" s="34" customFormat="1" ht="11.25" customHeight="1">
      <c r="A18" s="6" t="str">
        <f>_xlfn.CUBEMEMBER("walle RP2012",{"[Geographie].[Subdivision].&amp;[1]","[Geographie].[Commune].&amp;[52]"})</f>
        <v>Teva I Uta</v>
      </c>
      <c r="B18" s="28">
        <f t="shared" si="1"/>
        <v>6951</v>
      </c>
      <c r="C18" s="28">
        <f t="shared" si="1"/>
        <v>206</v>
      </c>
      <c r="D18" s="28">
        <f t="shared" si="1"/>
        <v>1485</v>
      </c>
      <c r="E18" s="28">
        <f t="shared" si="1"/>
        <v>1813</v>
      </c>
      <c r="F18" s="28">
        <f t="shared" si="1"/>
        <v>1469</v>
      </c>
      <c r="G18" s="28">
        <f t="shared" si="1"/>
        <v>1272</v>
      </c>
      <c r="H18" s="29">
        <f t="shared" si="1"/>
        <v>706</v>
      </c>
      <c r="I18" s="38"/>
      <c r="J18" s="39"/>
      <c r="K18" s="39"/>
      <c r="L18" s="39"/>
      <c r="M18" s="39"/>
      <c r="N18" s="39"/>
      <c r="O18" s="39"/>
      <c r="P18" s="39"/>
      <c r="Q18" s="39"/>
    </row>
    <row r="19" spans="1:17" s="37" customFormat="1" ht="11.25" customHeight="1">
      <c r="A19" s="17" t="str">
        <f>_xlfn.CUBEMEMBER("walle RP2012","[Geographie].[Subdivision].&amp;[2]")</f>
        <v>Iles Sous-Le-Vent</v>
      </c>
      <c r="B19" s="18">
        <f t="shared" si="1"/>
        <v>25908</v>
      </c>
      <c r="C19" s="18">
        <f t="shared" si="1"/>
        <v>1051</v>
      </c>
      <c r="D19" s="18">
        <f t="shared" si="1"/>
        <v>5544</v>
      </c>
      <c r="E19" s="18">
        <f t="shared" si="1"/>
        <v>6839</v>
      </c>
      <c r="F19" s="18">
        <f t="shared" si="1"/>
        <v>6256</v>
      </c>
      <c r="G19" s="18">
        <f t="shared" si="1"/>
        <v>3634</v>
      </c>
      <c r="H19" s="19">
        <f t="shared" si="1"/>
        <v>2584</v>
      </c>
      <c r="I19" s="35"/>
      <c r="J19" s="36"/>
      <c r="K19" s="36"/>
      <c r="L19" s="36"/>
      <c r="M19" s="36"/>
      <c r="N19" s="36"/>
      <c r="O19" s="36"/>
      <c r="P19" s="36"/>
      <c r="Q19" s="36"/>
    </row>
    <row r="20" spans="1:17" s="34" customFormat="1" ht="11.25" customHeight="1">
      <c r="A20" s="6" t="str">
        <f>_xlfn.CUBEMEMBER("walle RP2012",{"[Geographie].[Subdivision].&amp;[2]","[Geographie].[Commune].&amp;[14]"})</f>
        <v>Bora Bora</v>
      </c>
      <c r="B20" s="28">
        <f t="shared" si="1"/>
        <v>7000</v>
      </c>
      <c r="C20" s="28">
        <f t="shared" si="1"/>
        <v>179</v>
      </c>
      <c r="D20" s="28">
        <f t="shared" si="1"/>
        <v>1329</v>
      </c>
      <c r="E20" s="28">
        <f t="shared" si="1"/>
        <v>2070</v>
      </c>
      <c r="F20" s="28">
        <f t="shared" si="1"/>
        <v>1660</v>
      </c>
      <c r="G20" s="28">
        <f t="shared" si="1"/>
        <v>931</v>
      </c>
      <c r="H20" s="29">
        <f t="shared" si="1"/>
        <v>831</v>
      </c>
      <c r="I20" s="38"/>
      <c r="J20" s="39"/>
      <c r="K20" s="39"/>
      <c r="L20" s="39"/>
      <c r="M20" s="39"/>
      <c r="N20" s="39"/>
      <c r="O20" s="39"/>
      <c r="P20" s="39"/>
      <c r="Q20" s="39"/>
    </row>
    <row r="21" spans="1:17" s="34" customFormat="1" ht="11.25" customHeight="1">
      <c r="A21" s="6" t="str">
        <f>_xlfn.CUBEMEMBER("walle RP2012",{"[Geographie].[Subdivision].&amp;[2]","[Geographie].[Commune].&amp;[24]"})</f>
        <v>Huahine</v>
      </c>
      <c r="B21" s="28">
        <f aca="true" t="shared" si="2" ref="B21:H49">_xlfn.CUBEVALUE("walle RP2012",$A$2,$A21,B$2)</f>
        <v>4706</v>
      </c>
      <c r="C21" s="28">
        <f t="shared" si="2"/>
        <v>183</v>
      </c>
      <c r="D21" s="28">
        <f t="shared" si="2"/>
        <v>1256</v>
      </c>
      <c r="E21" s="28">
        <f t="shared" si="2"/>
        <v>1481</v>
      </c>
      <c r="F21" s="28">
        <f t="shared" si="2"/>
        <v>886</v>
      </c>
      <c r="G21" s="28">
        <f t="shared" si="2"/>
        <v>550</v>
      </c>
      <c r="H21" s="29">
        <f t="shared" si="2"/>
        <v>350</v>
      </c>
      <c r="I21" s="38"/>
      <c r="J21" s="39"/>
      <c r="K21" s="39"/>
      <c r="L21" s="39"/>
      <c r="M21" s="39"/>
      <c r="N21" s="39"/>
      <c r="O21" s="39"/>
      <c r="P21" s="39"/>
      <c r="Q21" s="39"/>
    </row>
    <row r="22" spans="1:17" s="34" customFormat="1" ht="11.25" customHeight="1">
      <c r="A22" s="6" t="str">
        <f>_xlfn.CUBEMEMBER("walle RP2012",{"[Geographie].[Subdivision].&amp;[2]","[Geographie].[Commune].&amp;[28]"})</f>
        <v>Maupiti</v>
      </c>
      <c r="B22" s="28">
        <f t="shared" si="2"/>
        <v>950</v>
      </c>
      <c r="C22" s="28">
        <f t="shared" si="2"/>
        <v>18</v>
      </c>
      <c r="D22" s="28">
        <f t="shared" si="2"/>
        <v>251</v>
      </c>
      <c r="E22" s="28">
        <f t="shared" si="2"/>
        <v>358</v>
      </c>
      <c r="F22" s="28">
        <f t="shared" si="2"/>
        <v>189</v>
      </c>
      <c r="G22" s="28">
        <f t="shared" si="2"/>
        <v>88</v>
      </c>
      <c r="H22" s="29">
        <f t="shared" si="2"/>
        <v>46</v>
      </c>
      <c r="I22" s="38"/>
      <c r="J22" s="39"/>
      <c r="K22" s="39"/>
      <c r="L22" s="39"/>
      <c r="M22" s="39"/>
      <c r="N22" s="39"/>
      <c r="O22" s="39"/>
      <c r="P22" s="39"/>
      <c r="Q22" s="39"/>
    </row>
    <row r="23" spans="1:17" s="34" customFormat="1" ht="11.25" customHeight="1">
      <c r="A23" s="6" t="str">
        <f>_xlfn.CUBEMEMBER("walle RP2012",{"[Geographie].[Subdivision].&amp;[2]","[Geographie].[Commune].&amp;[45]"})</f>
        <v>Tahaa</v>
      </c>
      <c r="B23" s="28">
        <f t="shared" si="2"/>
        <v>3879</v>
      </c>
      <c r="C23" s="28">
        <f t="shared" si="2"/>
        <v>276</v>
      </c>
      <c r="D23" s="28">
        <f t="shared" si="2"/>
        <v>944</v>
      </c>
      <c r="E23" s="28">
        <f t="shared" si="2"/>
        <v>948</v>
      </c>
      <c r="F23" s="28">
        <f t="shared" si="2"/>
        <v>982</v>
      </c>
      <c r="G23" s="28">
        <f t="shared" si="2"/>
        <v>488</v>
      </c>
      <c r="H23" s="29">
        <f t="shared" si="2"/>
        <v>241</v>
      </c>
      <c r="I23" s="38"/>
      <c r="J23" s="39"/>
      <c r="K23" s="39"/>
      <c r="L23" s="39"/>
      <c r="M23" s="39"/>
      <c r="N23" s="39"/>
      <c r="O23" s="39"/>
      <c r="P23" s="39"/>
      <c r="Q23" s="39"/>
    </row>
    <row r="24" spans="1:17" s="34" customFormat="1" ht="11.25" customHeight="1">
      <c r="A24" s="6" t="str">
        <f>_xlfn.CUBEMEMBER("walle RP2012",{"[Geographie].[Subdivision].&amp;[2]","[Geographie].[Commune].&amp;[50]"})</f>
        <v>Taputapuatea</v>
      </c>
      <c r="B24" s="28">
        <f t="shared" si="2"/>
        <v>3642</v>
      </c>
      <c r="C24" s="28">
        <f t="shared" si="2"/>
        <v>244</v>
      </c>
      <c r="D24" s="28">
        <f t="shared" si="2"/>
        <v>671</v>
      </c>
      <c r="E24" s="28">
        <f t="shared" si="2"/>
        <v>807</v>
      </c>
      <c r="F24" s="28">
        <f t="shared" si="2"/>
        <v>951</v>
      </c>
      <c r="G24" s="28">
        <f t="shared" si="2"/>
        <v>570</v>
      </c>
      <c r="H24" s="29">
        <f t="shared" si="2"/>
        <v>399</v>
      </c>
      <c r="I24" s="38"/>
      <c r="J24" s="39"/>
      <c r="K24" s="39"/>
      <c r="L24" s="39"/>
      <c r="M24" s="39"/>
      <c r="N24" s="39"/>
      <c r="O24" s="39"/>
      <c r="P24" s="39"/>
      <c r="Q24" s="39"/>
    </row>
    <row r="25" spans="1:17" s="34" customFormat="1" ht="11.25" customHeight="1">
      <c r="A25" s="6" t="str">
        <f>_xlfn.CUBEMEMBER("walle RP2012",{"[Geographie].[Subdivision].&amp;[2]","[Geographie].[Commune].&amp;[54]"})</f>
        <v>Tumaraa</v>
      </c>
      <c r="B25" s="30">
        <f t="shared" si="2"/>
        <v>2849</v>
      </c>
      <c r="C25" s="30">
        <f t="shared" si="2"/>
        <v>60</v>
      </c>
      <c r="D25" s="30">
        <f t="shared" si="2"/>
        <v>677</v>
      </c>
      <c r="E25" s="30">
        <f t="shared" si="2"/>
        <v>633</v>
      </c>
      <c r="F25" s="30">
        <f t="shared" si="2"/>
        <v>788</v>
      </c>
      <c r="G25" s="30">
        <f t="shared" si="2"/>
        <v>417</v>
      </c>
      <c r="H25" s="31">
        <f t="shared" si="2"/>
        <v>274</v>
      </c>
      <c r="I25" s="38"/>
      <c r="J25" s="39"/>
      <c r="K25" s="39"/>
      <c r="L25" s="39"/>
      <c r="M25" s="39"/>
      <c r="N25" s="39"/>
      <c r="O25" s="39"/>
      <c r="P25" s="39"/>
      <c r="Q25" s="39"/>
    </row>
    <row r="26" spans="1:17" s="34" customFormat="1" ht="11.25" customHeight="1">
      <c r="A26" s="6" t="str">
        <f>_xlfn.CUBEMEMBER("walle RP2012",{"[Geographie].[Subdivision].&amp;[2]","[Geographie].[Commune].&amp;[58]"})</f>
        <v>Uturoa</v>
      </c>
      <c r="B26" s="28">
        <f t="shared" si="2"/>
        <v>2882</v>
      </c>
      <c r="C26" s="28">
        <f t="shared" si="2"/>
        <v>91</v>
      </c>
      <c r="D26" s="28">
        <f t="shared" si="2"/>
        <v>416</v>
      </c>
      <c r="E26" s="28">
        <f t="shared" si="2"/>
        <v>542</v>
      </c>
      <c r="F26" s="28">
        <f t="shared" si="2"/>
        <v>800</v>
      </c>
      <c r="G26" s="28">
        <f t="shared" si="2"/>
        <v>590</v>
      </c>
      <c r="H26" s="29">
        <f t="shared" si="2"/>
        <v>443</v>
      </c>
      <c r="I26" s="38"/>
      <c r="J26" s="39"/>
      <c r="K26" s="39"/>
      <c r="L26" s="39"/>
      <c r="M26" s="39"/>
      <c r="N26" s="39"/>
      <c r="O26" s="39"/>
      <c r="P26" s="39"/>
      <c r="Q26" s="39"/>
    </row>
    <row r="27" spans="1:17" s="37" customFormat="1" ht="11.25" customHeight="1">
      <c r="A27" s="17" t="str">
        <f>_xlfn.CUBEMEMBER("walle RP2012","[Geographie].[Subdivision].&amp;[3]")</f>
        <v>Marquises</v>
      </c>
      <c r="B27" s="18">
        <f t="shared" si="2"/>
        <v>6732</v>
      </c>
      <c r="C27" s="18">
        <f t="shared" si="2"/>
        <v>333</v>
      </c>
      <c r="D27" s="18">
        <f t="shared" si="2"/>
        <v>1477</v>
      </c>
      <c r="E27" s="18">
        <f t="shared" si="2"/>
        <v>2031</v>
      </c>
      <c r="F27" s="18">
        <f t="shared" si="2"/>
        <v>1424</v>
      </c>
      <c r="G27" s="18">
        <f t="shared" si="2"/>
        <v>844</v>
      </c>
      <c r="H27" s="19">
        <f t="shared" si="2"/>
        <v>623</v>
      </c>
      <c r="I27" s="35"/>
      <c r="J27" s="36"/>
      <c r="K27" s="36"/>
      <c r="L27" s="36"/>
      <c r="M27" s="36"/>
      <c r="N27" s="36"/>
      <c r="O27" s="36"/>
      <c r="P27" s="36"/>
      <c r="Q27" s="36"/>
    </row>
    <row r="28" spans="1:17" s="34" customFormat="1" ht="11.25" customHeight="1">
      <c r="A28" s="6" t="str">
        <f>_xlfn.CUBEMEMBER("walle RP2012",{"[Geographie].[Subdivision].&amp;[3]","[Geographie].[Commune].&amp;[18]"})</f>
        <v>Fatu Hiva</v>
      </c>
      <c r="B28" s="28">
        <f t="shared" si="2"/>
        <v>460</v>
      </c>
      <c r="C28" s="28">
        <f t="shared" si="2"/>
        <v>8</v>
      </c>
      <c r="D28" s="28">
        <f t="shared" si="2"/>
        <v>106</v>
      </c>
      <c r="E28" s="28">
        <f t="shared" si="2"/>
        <v>188</v>
      </c>
      <c r="F28" s="28">
        <f t="shared" si="2"/>
        <v>92</v>
      </c>
      <c r="G28" s="28">
        <f t="shared" si="2"/>
        <v>53</v>
      </c>
      <c r="H28" s="29">
        <f t="shared" si="2"/>
        <v>13</v>
      </c>
      <c r="I28" s="38"/>
      <c r="J28" s="39"/>
      <c r="K28" s="39"/>
      <c r="L28" s="39"/>
      <c r="M28" s="39"/>
      <c r="N28" s="39"/>
      <c r="O28" s="39"/>
      <c r="P28" s="39"/>
      <c r="Q28" s="39"/>
    </row>
    <row r="29" spans="1:17" s="34" customFormat="1" ht="11.25" customHeight="1">
      <c r="A29" s="6" t="str">
        <f>_xlfn.CUBEMEMBER("walle RP2012",{"[Geographie].[Subdivision].&amp;[3]","[Geographie].[Commune].&amp;[23]"})</f>
        <v>Hiva Oa</v>
      </c>
      <c r="B29" s="28">
        <f t="shared" si="2"/>
        <v>1634</v>
      </c>
      <c r="C29" s="28">
        <f t="shared" si="2"/>
        <v>85</v>
      </c>
      <c r="D29" s="28">
        <f t="shared" si="2"/>
        <v>386</v>
      </c>
      <c r="E29" s="28">
        <f t="shared" si="2"/>
        <v>364</v>
      </c>
      <c r="F29" s="28">
        <f t="shared" si="2"/>
        <v>376</v>
      </c>
      <c r="G29" s="28">
        <f t="shared" si="2"/>
        <v>215</v>
      </c>
      <c r="H29" s="29">
        <f t="shared" si="2"/>
        <v>208</v>
      </c>
      <c r="I29" s="38"/>
      <c r="J29" s="39"/>
      <c r="K29" s="39"/>
      <c r="L29" s="39"/>
      <c r="M29" s="39"/>
      <c r="N29" s="39"/>
      <c r="O29" s="39"/>
      <c r="P29" s="39"/>
      <c r="Q29" s="39"/>
    </row>
    <row r="30" spans="1:17" s="34" customFormat="1" ht="11.25" customHeight="1">
      <c r="A30" s="6" t="str">
        <f>_xlfn.CUBEMEMBER("walle RP2012",{"[Geographie].[Subdivision].&amp;[3]","[Geographie].[Commune].&amp;[31]"})</f>
        <v>Nuku Hiva</v>
      </c>
      <c r="B30" s="28">
        <f t="shared" si="2"/>
        <v>2151</v>
      </c>
      <c r="C30" s="28">
        <f t="shared" si="2"/>
        <v>92</v>
      </c>
      <c r="D30" s="28">
        <f t="shared" si="2"/>
        <v>413</v>
      </c>
      <c r="E30" s="28">
        <f t="shared" si="2"/>
        <v>596</v>
      </c>
      <c r="F30" s="28">
        <f t="shared" si="2"/>
        <v>480</v>
      </c>
      <c r="G30" s="28">
        <f t="shared" si="2"/>
        <v>319</v>
      </c>
      <c r="H30" s="29">
        <f t="shared" si="2"/>
        <v>251</v>
      </c>
      <c r="I30" s="38"/>
      <c r="J30" s="39"/>
      <c r="K30" s="39"/>
      <c r="L30" s="39"/>
      <c r="M30" s="39"/>
      <c r="N30" s="39"/>
      <c r="O30" s="39"/>
      <c r="P30" s="39"/>
      <c r="Q30" s="39"/>
    </row>
    <row r="31" spans="1:17" s="34" customFormat="1" ht="11.25" customHeight="1">
      <c r="A31" s="6" t="str">
        <f>_xlfn.CUBEMEMBER("walle RP2012",{"[Geographie].[Subdivision].&amp;[3]","[Geographie].[Commune].&amp;[46]"})</f>
        <v>Tahuata</v>
      </c>
      <c r="B31" s="28">
        <f t="shared" si="2"/>
        <v>507</v>
      </c>
      <c r="C31" s="28">
        <f t="shared" si="2"/>
        <v>32</v>
      </c>
      <c r="D31" s="28">
        <f t="shared" si="2"/>
        <v>145</v>
      </c>
      <c r="E31" s="28">
        <f t="shared" si="2"/>
        <v>186</v>
      </c>
      <c r="F31" s="28">
        <f t="shared" si="2"/>
        <v>82</v>
      </c>
      <c r="G31" s="28">
        <f t="shared" si="2"/>
        <v>36</v>
      </c>
      <c r="H31" s="29">
        <f t="shared" si="2"/>
        <v>26</v>
      </c>
      <c r="I31" s="38"/>
      <c r="J31" s="39"/>
      <c r="K31" s="39"/>
      <c r="L31" s="39"/>
      <c r="M31" s="39"/>
      <c r="N31" s="39"/>
      <c r="O31" s="39"/>
      <c r="P31" s="39"/>
      <c r="Q31" s="39"/>
    </row>
    <row r="32" spans="1:17" s="34" customFormat="1" ht="11.25" customHeight="1">
      <c r="A32" s="6" t="str">
        <f>_xlfn.CUBEMEMBER("walle RP2012",{"[Geographie].[Subdivision].&amp;[3]","[Geographie].[Commune].&amp;[56]"})</f>
        <v>Ua Huka</v>
      </c>
      <c r="B32" s="28">
        <f t="shared" si="2"/>
        <v>459</v>
      </c>
      <c r="C32" s="28">
        <f t="shared" si="2"/>
        <v>13</v>
      </c>
      <c r="D32" s="28">
        <f t="shared" si="2"/>
        <v>131</v>
      </c>
      <c r="E32" s="28">
        <f t="shared" si="2"/>
        <v>175</v>
      </c>
      <c r="F32" s="28">
        <f t="shared" si="2"/>
        <v>73</v>
      </c>
      <c r="G32" s="28">
        <f t="shared" si="2"/>
        <v>53</v>
      </c>
      <c r="H32" s="29">
        <f t="shared" si="2"/>
        <v>14</v>
      </c>
      <c r="I32" s="38"/>
      <c r="J32" s="39"/>
      <c r="K32" s="39"/>
      <c r="L32" s="39"/>
      <c r="M32" s="39"/>
      <c r="N32" s="39"/>
      <c r="O32" s="39"/>
      <c r="P32" s="39"/>
      <c r="Q32" s="39"/>
    </row>
    <row r="33" spans="1:17" s="34" customFormat="1" ht="11.25" customHeight="1">
      <c r="A33" s="6" t="str">
        <f>_xlfn.CUBEMEMBER("walle RP2012",{"[Geographie].[Subdivision].&amp;[3]","[Geographie].[Commune].&amp;[57]"})</f>
        <v>Ua Pou</v>
      </c>
      <c r="B33" s="28">
        <f t="shared" si="2"/>
        <v>1521</v>
      </c>
      <c r="C33" s="28">
        <f t="shared" si="2"/>
        <v>103</v>
      </c>
      <c r="D33" s="28">
        <f t="shared" si="2"/>
        <v>296</v>
      </c>
      <c r="E33" s="28">
        <f t="shared" si="2"/>
        <v>522</v>
      </c>
      <c r="F33" s="28">
        <f t="shared" si="2"/>
        <v>321</v>
      </c>
      <c r="G33" s="28">
        <f t="shared" si="2"/>
        <v>168</v>
      </c>
      <c r="H33" s="29">
        <f t="shared" si="2"/>
        <v>111</v>
      </c>
      <c r="I33" s="38"/>
      <c r="J33" s="39"/>
      <c r="K33" s="39"/>
      <c r="L33" s="39"/>
      <c r="M33" s="39"/>
      <c r="N33" s="39"/>
      <c r="O33" s="39"/>
      <c r="P33" s="39"/>
      <c r="Q33" s="39"/>
    </row>
    <row r="34" spans="1:17" s="37" customFormat="1" ht="11.25" customHeight="1">
      <c r="A34" s="17" t="str">
        <f>_xlfn.CUBEMEMBER("walle RP2012","[Geographie].[Subdivision].&amp;[4]")</f>
        <v>Australes</v>
      </c>
      <c r="B34" s="18">
        <f t="shared" si="2"/>
        <v>4969</v>
      </c>
      <c r="C34" s="18">
        <f t="shared" si="2"/>
        <v>262</v>
      </c>
      <c r="D34" s="18">
        <f t="shared" si="2"/>
        <v>1413</v>
      </c>
      <c r="E34" s="18">
        <f t="shared" si="2"/>
        <v>1501</v>
      </c>
      <c r="F34" s="18">
        <f t="shared" si="2"/>
        <v>703</v>
      </c>
      <c r="G34" s="18">
        <f t="shared" si="2"/>
        <v>701</v>
      </c>
      <c r="H34" s="19">
        <f t="shared" si="2"/>
        <v>389</v>
      </c>
      <c r="I34" s="35"/>
      <c r="J34" s="36"/>
      <c r="K34" s="36"/>
      <c r="L34" s="36"/>
      <c r="M34" s="36"/>
      <c r="N34" s="36"/>
      <c r="O34" s="36"/>
      <c r="P34" s="36"/>
      <c r="Q34" s="36"/>
    </row>
    <row r="35" spans="1:17" s="34" customFormat="1" ht="11.25" customHeight="1">
      <c r="A35" s="6" t="str">
        <f>_xlfn.CUBEMEMBER("walle RP2012",{"[Geographie].[Subdivision].&amp;[4]","[Geographie].[Commune].&amp;[39]"})</f>
        <v>Raivavae</v>
      </c>
      <c r="B35" s="30">
        <f t="shared" si="2"/>
        <v>740</v>
      </c>
      <c r="C35" s="30">
        <f t="shared" si="2"/>
        <v>60</v>
      </c>
      <c r="D35" s="30">
        <f t="shared" si="2"/>
        <v>204</v>
      </c>
      <c r="E35" s="30">
        <f t="shared" si="2"/>
        <v>231</v>
      </c>
      <c r="F35" s="30">
        <f t="shared" si="2"/>
        <v>84</v>
      </c>
      <c r="G35" s="30">
        <f t="shared" si="2"/>
        <v>99</v>
      </c>
      <c r="H35" s="31">
        <f t="shared" si="2"/>
        <v>62</v>
      </c>
      <c r="I35" s="38"/>
      <c r="J35" s="39"/>
      <c r="K35" s="39"/>
      <c r="L35" s="39"/>
      <c r="M35" s="39"/>
      <c r="N35" s="39"/>
      <c r="O35" s="39"/>
      <c r="P35" s="39"/>
      <c r="Q35" s="39"/>
    </row>
    <row r="36" spans="1:17" s="34" customFormat="1" ht="11.25" customHeight="1">
      <c r="A36" s="6" t="str">
        <f>_xlfn.CUBEMEMBER("walle RP2012",{"[Geographie].[Subdivision].&amp;[4]","[Geographie].[Commune].&amp;[41]"})</f>
        <v>Rapa</v>
      </c>
      <c r="B36" s="28">
        <f t="shared" si="2"/>
        <v>368</v>
      </c>
      <c r="C36" s="28">
        <f t="shared" si="2"/>
        <v>16</v>
      </c>
      <c r="D36" s="28">
        <f t="shared" si="2"/>
        <v>96</v>
      </c>
      <c r="E36" s="28">
        <f t="shared" si="2"/>
        <v>142</v>
      </c>
      <c r="F36" s="28">
        <f t="shared" si="2"/>
        <v>42</v>
      </c>
      <c r="G36" s="28">
        <f t="shared" si="2"/>
        <v>56</v>
      </c>
      <c r="H36" s="29">
        <f t="shared" si="2"/>
        <v>16</v>
      </c>
      <c r="I36" s="38"/>
      <c r="J36" s="39"/>
      <c r="K36" s="39"/>
      <c r="L36" s="39"/>
      <c r="M36" s="39"/>
      <c r="N36" s="39"/>
      <c r="O36" s="39"/>
      <c r="P36" s="39"/>
      <c r="Q36" s="39"/>
    </row>
    <row r="37" spans="1:17" s="34" customFormat="1" ht="11.25" customHeight="1">
      <c r="A37" s="6" t="str">
        <f>_xlfn.CUBEMEMBER("walle RP2012",{"[Geographie].[Subdivision].&amp;[4]","[Geographie].[Commune].&amp;[43]"})</f>
        <v>Rimatara</v>
      </c>
      <c r="B37" s="28">
        <f t="shared" si="2"/>
        <v>616</v>
      </c>
      <c r="C37" s="28">
        <f t="shared" si="2"/>
        <v>26</v>
      </c>
      <c r="D37" s="28">
        <f t="shared" si="2"/>
        <v>227</v>
      </c>
      <c r="E37" s="28">
        <f t="shared" si="2"/>
        <v>161</v>
      </c>
      <c r="F37" s="28">
        <f t="shared" si="2"/>
        <v>92</v>
      </c>
      <c r="G37" s="28">
        <f t="shared" si="2"/>
        <v>77</v>
      </c>
      <c r="H37" s="29">
        <f t="shared" si="2"/>
        <v>33</v>
      </c>
      <c r="I37" s="38"/>
      <c r="J37" s="39"/>
      <c r="K37" s="39"/>
      <c r="L37" s="39"/>
      <c r="M37" s="39"/>
      <c r="N37" s="39"/>
      <c r="O37" s="39"/>
      <c r="P37" s="39"/>
      <c r="Q37" s="39"/>
    </row>
    <row r="38" spans="1:17" s="34" customFormat="1" ht="11.25" customHeight="1">
      <c r="A38" s="6" t="str">
        <f>_xlfn.CUBEMEMBER("walle RP2012",{"[Geographie].[Subdivision].&amp;[4]","[Geographie].[Commune].&amp;[44]"})</f>
        <v>Rurutu</v>
      </c>
      <c r="B38" s="28">
        <f t="shared" si="2"/>
        <v>1669</v>
      </c>
      <c r="C38" s="28">
        <f t="shared" si="2"/>
        <v>100</v>
      </c>
      <c r="D38" s="28">
        <f t="shared" si="2"/>
        <v>494</v>
      </c>
      <c r="E38" s="28">
        <f t="shared" si="2"/>
        <v>473</v>
      </c>
      <c r="F38" s="28">
        <f t="shared" si="2"/>
        <v>214</v>
      </c>
      <c r="G38" s="28">
        <f t="shared" si="2"/>
        <v>259</v>
      </c>
      <c r="H38" s="29">
        <f t="shared" si="2"/>
        <v>129</v>
      </c>
      <c r="I38" s="38"/>
      <c r="J38" s="39"/>
      <c r="K38" s="39"/>
      <c r="L38" s="39"/>
      <c r="M38" s="39"/>
      <c r="N38" s="39"/>
      <c r="O38" s="39"/>
      <c r="P38" s="39"/>
      <c r="Q38" s="39"/>
    </row>
    <row r="39" spans="1:17" s="34" customFormat="1" ht="11.25" customHeight="1">
      <c r="A39" s="6" t="str">
        <f>_xlfn.CUBEMEMBER("walle RP2012",{"[Geographie].[Subdivision].&amp;[4]","[Geographie].[Commune].&amp;[53]"})</f>
        <v>Tubuai</v>
      </c>
      <c r="B39" s="28">
        <f t="shared" si="2"/>
        <v>1576</v>
      </c>
      <c r="C39" s="28">
        <f t="shared" si="2"/>
        <v>60</v>
      </c>
      <c r="D39" s="28">
        <f t="shared" si="2"/>
        <v>392</v>
      </c>
      <c r="E39" s="28">
        <f t="shared" si="2"/>
        <v>494</v>
      </c>
      <c r="F39" s="28">
        <f t="shared" si="2"/>
        <v>271</v>
      </c>
      <c r="G39" s="28">
        <f t="shared" si="2"/>
        <v>210</v>
      </c>
      <c r="H39" s="29">
        <f t="shared" si="2"/>
        <v>149</v>
      </c>
      <c r="I39" s="38"/>
      <c r="J39" s="39"/>
      <c r="K39" s="39"/>
      <c r="L39" s="39"/>
      <c r="M39" s="39"/>
      <c r="N39" s="39"/>
      <c r="O39" s="39"/>
      <c r="P39" s="39"/>
      <c r="Q39" s="39"/>
    </row>
    <row r="40" spans="1:17" s="37" customFormat="1" ht="11.25" customHeight="1">
      <c r="A40" s="17" t="str">
        <f>_xlfn.CUBEMEMBER("walle RP2012","[Geographie].[Subdivision].&amp;[5]")</f>
        <v>Tuamotu-Gambier</v>
      </c>
      <c r="B40" s="18">
        <f t="shared" si="2"/>
        <v>12427</v>
      </c>
      <c r="C40" s="18">
        <f t="shared" si="2"/>
        <v>610</v>
      </c>
      <c r="D40" s="18">
        <f t="shared" si="2"/>
        <v>2970</v>
      </c>
      <c r="E40" s="18">
        <f t="shared" si="2"/>
        <v>4169</v>
      </c>
      <c r="F40" s="18">
        <f t="shared" si="2"/>
        <v>2322</v>
      </c>
      <c r="G40" s="18">
        <f t="shared" si="2"/>
        <v>1496</v>
      </c>
      <c r="H40" s="19">
        <f t="shared" si="2"/>
        <v>860</v>
      </c>
      <c r="I40" s="35"/>
      <c r="J40" s="36"/>
      <c r="K40" s="36"/>
      <c r="L40" s="36"/>
      <c r="M40" s="36"/>
      <c r="N40" s="36"/>
      <c r="O40" s="36"/>
      <c r="P40" s="36"/>
      <c r="Q40" s="36"/>
    </row>
    <row r="41" spans="1:17" s="34" customFormat="1" ht="11.25" customHeight="1">
      <c r="A41" s="6" t="str">
        <f>_xlfn.CUBEMEMBER("walle RP2012",{"[Geographie].[Subdivision].&amp;[5]","[Geographie].[Commune].&amp;[11]"})</f>
        <v>Anaa</v>
      </c>
      <c r="B41" s="28">
        <f t="shared" si="2"/>
        <v>653</v>
      </c>
      <c r="C41" s="28">
        <f t="shared" si="2"/>
        <v>39</v>
      </c>
      <c r="D41" s="28">
        <f t="shared" si="2"/>
        <v>172</v>
      </c>
      <c r="E41" s="28">
        <f t="shared" si="2"/>
        <v>206</v>
      </c>
      <c r="F41" s="28">
        <f t="shared" si="2"/>
        <v>144</v>
      </c>
      <c r="G41" s="28">
        <f t="shared" si="2"/>
        <v>65</v>
      </c>
      <c r="H41" s="29">
        <f t="shared" si="2"/>
        <v>27</v>
      </c>
      <c r="I41" s="38"/>
      <c r="J41" s="39"/>
      <c r="K41" s="39"/>
      <c r="L41" s="39"/>
      <c r="M41" s="39"/>
      <c r="N41" s="39"/>
      <c r="O41" s="39"/>
      <c r="P41" s="39"/>
      <c r="Q41" s="39"/>
    </row>
    <row r="42" spans="1:17" s="34" customFormat="1" ht="11.25" customHeight="1">
      <c r="A42" s="6" t="str">
        <f>_xlfn.CUBEMEMBER("walle RP2012",{"[Geographie].[Subdivision].&amp;[5]","[Geographie].[Commune].&amp;[13]"})</f>
        <v>Arutua</v>
      </c>
      <c r="B42" s="28">
        <f t="shared" si="2"/>
        <v>1131</v>
      </c>
      <c r="C42" s="28">
        <f t="shared" si="2"/>
        <v>40</v>
      </c>
      <c r="D42" s="28">
        <f t="shared" si="2"/>
        <v>300</v>
      </c>
      <c r="E42" s="28">
        <f t="shared" si="2"/>
        <v>479</v>
      </c>
      <c r="F42" s="28">
        <f t="shared" si="2"/>
        <v>165</v>
      </c>
      <c r="G42" s="28">
        <f t="shared" si="2"/>
        <v>112</v>
      </c>
      <c r="H42" s="29">
        <f t="shared" si="2"/>
        <v>35</v>
      </c>
      <c r="I42" s="38"/>
      <c r="J42" s="39"/>
      <c r="K42" s="39"/>
      <c r="L42" s="39"/>
      <c r="M42" s="39"/>
      <c r="N42" s="39"/>
      <c r="O42" s="39"/>
      <c r="P42" s="39"/>
      <c r="Q42" s="39"/>
    </row>
    <row r="43" spans="1:17" s="34" customFormat="1" ht="11.25" customHeight="1">
      <c r="A43" s="6" t="str">
        <f>_xlfn.CUBEMEMBER("walle RP2012",{"[Geographie].[Subdivision].&amp;[5]","[Geographie].[Commune].&amp;[16]"})</f>
        <v>Fakarava</v>
      </c>
      <c r="B43" s="28">
        <f t="shared" si="2"/>
        <v>1201</v>
      </c>
      <c r="C43" s="28">
        <f t="shared" si="2"/>
        <v>71</v>
      </c>
      <c r="D43" s="28">
        <f t="shared" si="2"/>
        <v>330</v>
      </c>
      <c r="E43" s="28">
        <f t="shared" si="2"/>
        <v>398</v>
      </c>
      <c r="F43" s="28">
        <f t="shared" si="2"/>
        <v>198</v>
      </c>
      <c r="G43" s="28">
        <f t="shared" si="2"/>
        <v>130</v>
      </c>
      <c r="H43" s="29">
        <f t="shared" si="2"/>
        <v>74</v>
      </c>
      <c r="I43" s="38"/>
      <c r="J43" s="39"/>
      <c r="K43" s="39"/>
      <c r="L43" s="39"/>
      <c r="M43" s="39"/>
      <c r="N43" s="39"/>
      <c r="O43" s="39"/>
      <c r="P43" s="39"/>
      <c r="Q43" s="39"/>
    </row>
    <row r="44" spans="1:17" s="34" customFormat="1" ht="11.25" customHeight="1">
      <c r="A44" s="6" t="str">
        <f>_xlfn.CUBEMEMBER("walle RP2012",{"[Geographie].[Subdivision].&amp;[5]","[Geographie].[Commune].&amp;[17]"})</f>
        <v>Fangatau</v>
      </c>
      <c r="B44" s="28">
        <f t="shared" si="2"/>
        <v>232</v>
      </c>
      <c r="C44" s="28">
        <f t="shared" si="2"/>
        <v>19</v>
      </c>
      <c r="D44" s="28">
        <f t="shared" si="2"/>
        <v>69</v>
      </c>
      <c r="E44" s="28">
        <f t="shared" si="2"/>
        <v>65</v>
      </c>
      <c r="F44" s="28">
        <f t="shared" si="2"/>
        <v>36</v>
      </c>
      <c r="G44" s="28">
        <f t="shared" si="2"/>
        <v>36</v>
      </c>
      <c r="H44" s="29">
        <f t="shared" si="2"/>
        <v>7</v>
      </c>
      <c r="I44" s="38"/>
      <c r="J44" s="39"/>
      <c r="K44" s="39"/>
      <c r="L44" s="39"/>
      <c r="M44" s="39"/>
      <c r="N44" s="39"/>
      <c r="O44" s="39"/>
      <c r="P44" s="39"/>
      <c r="Q44" s="39"/>
    </row>
    <row r="45" spans="1:17" s="34" customFormat="1" ht="11.25" customHeight="1">
      <c r="A45" s="6" t="str">
        <f>_xlfn.CUBEMEMBER("walle RP2012",{"[Geographie].[Subdivision].&amp;[5]","[Geographie].[Commune].&amp;[19]"})</f>
        <v>Gambier</v>
      </c>
      <c r="B45" s="30">
        <f t="shared" si="2"/>
        <v>1052</v>
      </c>
      <c r="C45" s="30">
        <f t="shared" si="2"/>
        <v>50</v>
      </c>
      <c r="D45" s="30">
        <f t="shared" si="2"/>
        <v>246</v>
      </c>
      <c r="E45" s="30">
        <f t="shared" si="2"/>
        <v>348</v>
      </c>
      <c r="F45" s="30">
        <f t="shared" si="2"/>
        <v>229</v>
      </c>
      <c r="G45" s="30">
        <f t="shared" si="2"/>
        <v>116</v>
      </c>
      <c r="H45" s="31">
        <f t="shared" si="2"/>
        <v>63</v>
      </c>
      <c r="I45" s="38"/>
      <c r="J45" s="39"/>
      <c r="K45" s="39"/>
      <c r="L45" s="39"/>
      <c r="M45" s="39"/>
      <c r="N45" s="39"/>
      <c r="O45" s="39"/>
      <c r="P45" s="39"/>
      <c r="Q45" s="39"/>
    </row>
    <row r="46" spans="1:17" s="34" customFormat="1" ht="11.25" customHeight="1">
      <c r="A46" s="6" t="str">
        <f>_xlfn.CUBEMEMBER("walle RP2012",{"[Geographie].[Subdivision].&amp;[5]","[Geographie].[Commune].&amp;[20]"})</f>
        <v>Hao</v>
      </c>
      <c r="B46" s="28">
        <f t="shared" si="2"/>
        <v>942</v>
      </c>
      <c r="C46" s="28">
        <f t="shared" si="2"/>
        <v>32</v>
      </c>
      <c r="D46" s="28">
        <f t="shared" si="2"/>
        <v>219</v>
      </c>
      <c r="E46" s="28">
        <f t="shared" si="2"/>
        <v>221</v>
      </c>
      <c r="F46" s="28">
        <f t="shared" si="2"/>
        <v>250</v>
      </c>
      <c r="G46" s="28">
        <f t="shared" si="2"/>
        <v>125</v>
      </c>
      <c r="H46" s="29">
        <f t="shared" si="2"/>
        <v>95</v>
      </c>
      <c r="I46" s="38"/>
      <c r="J46" s="39"/>
      <c r="K46" s="39"/>
      <c r="L46" s="39"/>
      <c r="M46" s="39"/>
      <c r="N46" s="39"/>
      <c r="O46" s="39"/>
      <c r="P46" s="39"/>
      <c r="Q46" s="39"/>
    </row>
    <row r="47" spans="1:17" s="34" customFormat="1" ht="11.25" customHeight="1">
      <c r="A47" s="6" t="str">
        <f>_xlfn.CUBEMEMBER("walle RP2012",{"[Geographie].[Subdivision].&amp;[5]","[Geographie].[Commune].&amp;[21]"})</f>
        <v>Hikueru</v>
      </c>
      <c r="B47" s="28">
        <f t="shared" si="2"/>
        <v>176</v>
      </c>
      <c r="C47" s="28">
        <f t="shared" si="2"/>
        <v>15</v>
      </c>
      <c r="D47" s="28">
        <f t="shared" si="2"/>
        <v>41</v>
      </c>
      <c r="E47" s="28">
        <f t="shared" si="2"/>
        <v>59</v>
      </c>
      <c r="F47" s="28">
        <f t="shared" si="2"/>
        <v>31</v>
      </c>
      <c r="G47" s="28">
        <f t="shared" si="2"/>
        <v>17</v>
      </c>
      <c r="H47" s="29">
        <f t="shared" si="2"/>
        <v>13</v>
      </c>
      <c r="I47" s="38"/>
      <c r="J47" s="39"/>
      <c r="K47" s="39"/>
      <c r="L47" s="39"/>
      <c r="M47" s="39"/>
      <c r="N47" s="39"/>
      <c r="O47" s="39"/>
      <c r="P47" s="39"/>
      <c r="Q47" s="39"/>
    </row>
    <row r="48" spans="1:17" s="34" customFormat="1" ht="11.25" customHeight="1">
      <c r="A48" s="6" t="str">
        <f>_xlfn.CUBEMEMBER("walle RP2012",{"[Geographie].[Subdivision].&amp;[5]","[Geographie].[Commune].&amp;[26]"})</f>
        <v>Makemo</v>
      </c>
      <c r="B48" s="28">
        <f t="shared" si="2"/>
        <v>1118</v>
      </c>
      <c r="C48" s="28">
        <f t="shared" si="2"/>
        <v>83</v>
      </c>
      <c r="D48" s="28">
        <f t="shared" si="2"/>
        <v>276</v>
      </c>
      <c r="E48" s="28">
        <f t="shared" si="2"/>
        <v>339</v>
      </c>
      <c r="F48" s="28">
        <f t="shared" si="2"/>
        <v>200</v>
      </c>
      <c r="G48" s="28">
        <f t="shared" si="2"/>
        <v>123</v>
      </c>
      <c r="H48" s="29">
        <f t="shared" si="2"/>
        <v>97</v>
      </c>
      <c r="I48" s="38"/>
      <c r="J48" s="39"/>
      <c r="K48" s="39"/>
      <c r="L48" s="39"/>
      <c r="M48" s="39"/>
      <c r="N48" s="39"/>
      <c r="O48" s="39"/>
      <c r="P48" s="39"/>
      <c r="Q48" s="39"/>
    </row>
    <row r="49" spans="1:17" s="34" customFormat="1" ht="11.25" customHeight="1">
      <c r="A49" s="6" t="str">
        <f>_xlfn.CUBEMEMBER("walle RP2012",{"[Geographie].[Subdivision].&amp;[5]","[Geographie].[Commune].&amp;[27]"})</f>
        <v>Manihi</v>
      </c>
      <c r="B49" s="28">
        <f t="shared" si="2"/>
        <v>958</v>
      </c>
      <c r="C49" s="28">
        <f t="shared" si="2"/>
        <v>38</v>
      </c>
      <c r="D49" s="28">
        <f t="shared" si="2"/>
        <v>208</v>
      </c>
      <c r="E49" s="28">
        <f aca="true" t="shared" si="3" ref="C49:H57">_xlfn.CUBEVALUE("walle RP2012",$A$2,$A49,E$2)</f>
        <v>357</v>
      </c>
      <c r="F49" s="28">
        <f t="shared" si="3"/>
        <v>157</v>
      </c>
      <c r="G49" s="28">
        <f t="shared" si="3"/>
        <v>131</v>
      </c>
      <c r="H49" s="29">
        <f t="shared" si="3"/>
        <v>67</v>
      </c>
      <c r="I49" s="38"/>
      <c r="J49" s="39"/>
      <c r="K49" s="39"/>
      <c r="L49" s="39"/>
      <c r="M49" s="39"/>
      <c r="N49" s="39"/>
      <c r="O49" s="39"/>
      <c r="P49" s="39"/>
      <c r="Q49" s="39"/>
    </row>
    <row r="50" spans="1:17" s="34" customFormat="1" ht="11.25" customHeight="1">
      <c r="A50" s="6" t="str">
        <f>_xlfn.CUBEMEMBER("walle RP2012",{"[Geographie].[Subdivision].&amp;[5]","[Geographie].[Commune].&amp;[30]"})</f>
        <v>Napuka</v>
      </c>
      <c r="B50" s="28">
        <f aca="true" t="shared" si="4" ref="B50:B57">_xlfn.CUBEVALUE("walle RP2012",$A$2,$A50,B$2)</f>
        <v>245</v>
      </c>
      <c r="C50" s="28">
        <f t="shared" si="3"/>
        <v>21</v>
      </c>
      <c r="D50" s="28">
        <f t="shared" si="3"/>
        <v>90</v>
      </c>
      <c r="E50" s="28">
        <f t="shared" si="3"/>
        <v>55</v>
      </c>
      <c r="F50" s="28">
        <f t="shared" si="3"/>
        <v>56</v>
      </c>
      <c r="G50" s="28">
        <f t="shared" si="3"/>
        <v>14</v>
      </c>
      <c r="H50" s="29">
        <f t="shared" si="3"/>
        <v>9</v>
      </c>
      <c r="I50" s="38"/>
      <c r="J50" s="39"/>
      <c r="K50" s="39"/>
      <c r="L50" s="39"/>
      <c r="M50" s="39"/>
      <c r="N50" s="39"/>
      <c r="O50" s="39"/>
      <c r="P50" s="39"/>
      <c r="Q50" s="39"/>
    </row>
    <row r="51" spans="1:17" s="34" customFormat="1" ht="11.25" customHeight="1">
      <c r="A51" s="6" t="str">
        <f>_xlfn.CUBEMEMBER("walle RP2012",{"[Geographie].[Subdivision].&amp;[5]","[Geographie].[Commune].&amp;[32]"})</f>
        <v>Nukutavake</v>
      </c>
      <c r="B51" s="28">
        <f t="shared" si="4"/>
        <v>247</v>
      </c>
      <c r="C51" s="28">
        <f t="shared" si="3"/>
        <v>17</v>
      </c>
      <c r="D51" s="28">
        <f t="shared" si="3"/>
        <v>52</v>
      </c>
      <c r="E51" s="28">
        <f t="shared" si="3"/>
        <v>113</v>
      </c>
      <c r="F51" s="28">
        <f t="shared" si="3"/>
        <v>43</v>
      </c>
      <c r="G51" s="28">
        <f t="shared" si="3"/>
        <v>11</v>
      </c>
      <c r="H51" s="29">
        <f t="shared" si="3"/>
        <v>11</v>
      </c>
      <c r="I51" s="38"/>
      <c r="J51" s="39"/>
      <c r="K51" s="39"/>
      <c r="L51" s="39"/>
      <c r="M51" s="39"/>
      <c r="N51" s="39"/>
      <c r="O51" s="39"/>
      <c r="P51" s="39"/>
      <c r="Q51" s="39"/>
    </row>
    <row r="52" spans="1:17" s="40" customFormat="1" ht="11.25" customHeight="1">
      <c r="A52" s="6" t="str">
        <f>_xlfn.CUBEMEMBER("walle RP2012",{"[Geographie].[Subdivision].&amp;[5]","[Geographie].[Commune].&amp;[37]"})</f>
        <v>Pukapuka</v>
      </c>
      <c r="B52" s="28">
        <f t="shared" si="4"/>
        <v>115</v>
      </c>
      <c r="C52" s="28">
        <f t="shared" si="3"/>
        <v>10</v>
      </c>
      <c r="D52" s="28">
        <f t="shared" si="3"/>
        <v>36</v>
      </c>
      <c r="E52" s="28">
        <f t="shared" si="3"/>
        <v>27</v>
      </c>
      <c r="F52" s="28">
        <f t="shared" si="3"/>
        <v>27</v>
      </c>
      <c r="G52" s="28">
        <f t="shared" si="3"/>
        <v>11</v>
      </c>
      <c r="H52" s="29">
        <f t="shared" si="3"/>
        <v>4</v>
      </c>
      <c r="I52" s="38"/>
      <c r="J52" s="39"/>
      <c r="K52" s="39"/>
      <c r="L52" s="39"/>
      <c r="M52" s="39"/>
      <c r="N52" s="39"/>
      <c r="O52" s="39"/>
      <c r="P52" s="39"/>
      <c r="Q52" s="39"/>
    </row>
    <row r="53" spans="1:17" s="40" customFormat="1" ht="11.25" customHeight="1">
      <c r="A53" s="6" t="str">
        <f>_xlfn.CUBEMEMBER("walle RP2012",{"[Geographie].[Subdivision].&amp;[5]","[Geographie].[Commune].&amp;[40]"})</f>
        <v>Rangiroa</v>
      </c>
      <c r="B53" s="28">
        <f t="shared" si="4"/>
        <v>2557</v>
      </c>
      <c r="C53" s="28">
        <f t="shared" si="3"/>
        <v>67</v>
      </c>
      <c r="D53" s="28">
        <f t="shared" si="3"/>
        <v>506</v>
      </c>
      <c r="E53" s="28">
        <f t="shared" si="3"/>
        <v>869</v>
      </c>
      <c r="F53" s="28">
        <f t="shared" si="3"/>
        <v>442</v>
      </c>
      <c r="G53" s="28">
        <f t="shared" si="3"/>
        <v>390</v>
      </c>
      <c r="H53" s="29">
        <f t="shared" si="3"/>
        <v>283</v>
      </c>
      <c r="I53" s="38"/>
      <c r="J53" s="39"/>
      <c r="K53" s="39"/>
      <c r="L53" s="39"/>
      <c r="M53" s="39"/>
      <c r="N53" s="39"/>
      <c r="O53" s="39"/>
      <c r="P53" s="39"/>
      <c r="Q53" s="39"/>
    </row>
    <row r="54" spans="1:17" s="40" customFormat="1" ht="11.25" customHeight="1">
      <c r="A54" s="6" t="str">
        <f>_xlfn.CUBEMEMBER("walle RP2012",{"[Geographie].[Subdivision].&amp;[5]","[Geographie].[Commune].&amp;[42]"})</f>
        <v>Reao</v>
      </c>
      <c r="B54" s="28">
        <f t="shared" si="4"/>
        <v>444</v>
      </c>
      <c r="C54" s="28">
        <f t="shared" si="3"/>
        <v>21</v>
      </c>
      <c r="D54" s="28">
        <f t="shared" si="3"/>
        <v>169</v>
      </c>
      <c r="E54" s="28">
        <f t="shared" si="3"/>
        <v>100</v>
      </c>
      <c r="F54" s="28">
        <f t="shared" si="3"/>
        <v>99</v>
      </c>
      <c r="G54" s="28">
        <f t="shared" si="3"/>
        <v>47</v>
      </c>
      <c r="H54" s="29">
        <f t="shared" si="3"/>
        <v>8</v>
      </c>
      <c r="I54" s="38"/>
      <c r="J54" s="39"/>
      <c r="K54" s="39"/>
      <c r="L54" s="39"/>
      <c r="M54" s="39"/>
      <c r="N54" s="39"/>
      <c r="O54" s="39"/>
      <c r="P54" s="39"/>
      <c r="Q54" s="39"/>
    </row>
    <row r="55" spans="1:17" s="40" customFormat="1" ht="11.25" customHeight="1">
      <c r="A55" s="6" t="str">
        <f>_xlfn.CUBEMEMBER("walle RP2012",{"[Geographie].[Subdivision].&amp;[5]","[Geographie].[Commune].&amp;[49]"})</f>
        <v>Takaroa</v>
      </c>
      <c r="B55" s="28">
        <f t="shared" si="4"/>
        <v>947</v>
      </c>
      <c r="C55" s="28">
        <f t="shared" si="3"/>
        <v>49</v>
      </c>
      <c r="D55" s="28">
        <f t="shared" si="3"/>
        <v>155</v>
      </c>
      <c r="E55" s="28">
        <f t="shared" si="3"/>
        <v>403</v>
      </c>
      <c r="F55" s="28">
        <f t="shared" si="3"/>
        <v>170</v>
      </c>
      <c r="G55" s="28">
        <f t="shared" si="3"/>
        <v>129</v>
      </c>
      <c r="H55" s="29">
        <f t="shared" si="3"/>
        <v>41</v>
      </c>
      <c r="I55" s="38"/>
      <c r="J55" s="39"/>
      <c r="K55" s="39"/>
      <c r="L55" s="39"/>
      <c r="M55" s="39"/>
      <c r="N55" s="39"/>
      <c r="O55" s="39"/>
      <c r="P55" s="39"/>
      <c r="Q55" s="39"/>
    </row>
    <row r="56" spans="1:17" s="40" customFormat="1" ht="11.25" customHeight="1">
      <c r="A56" s="6" t="str">
        <f>_xlfn.CUBEMEMBER("walle RP2012",{"[Geographie].[Subdivision].&amp;[5]","[Geographie].[Commune].&amp;[51]"})</f>
        <v>Tatakoto</v>
      </c>
      <c r="B56" s="28">
        <f t="shared" si="4"/>
        <v>217</v>
      </c>
      <c r="C56" s="28">
        <f t="shared" si="3"/>
        <v>19</v>
      </c>
      <c r="D56" s="28">
        <f t="shared" si="3"/>
        <v>58</v>
      </c>
      <c r="E56" s="28">
        <f t="shared" si="3"/>
        <v>67</v>
      </c>
      <c r="F56" s="28">
        <f t="shared" si="3"/>
        <v>38</v>
      </c>
      <c r="G56" s="28">
        <f t="shared" si="3"/>
        <v>20</v>
      </c>
      <c r="H56" s="29">
        <f t="shared" si="3"/>
        <v>15</v>
      </c>
      <c r="I56" s="38"/>
      <c r="J56" s="39"/>
      <c r="K56" s="39"/>
      <c r="L56" s="39"/>
      <c r="M56" s="39"/>
      <c r="N56" s="39"/>
      <c r="O56" s="39"/>
      <c r="P56" s="39"/>
      <c r="Q56" s="39"/>
    </row>
    <row r="57" spans="1:17" s="40" customFormat="1" ht="11.25" customHeight="1">
      <c r="A57" s="12" t="str">
        <f>_xlfn.CUBEMEMBER("walle RP2012",{"[Geographie].[Subdivision].&amp;[5]","[Geographie].[Commune].&amp;[55]"})</f>
        <v>Tureia</v>
      </c>
      <c r="B57" s="32">
        <f t="shared" si="4"/>
        <v>192</v>
      </c>
      <c r="C57" s="32">
        <f t="shared" si="3"/>
        <v>19</v>
      </c>
      <c r="D57" s="32">
        <f t="shared" si="3"/>
        <v>43</v>
      </c>
      <c r="E57" s="32">
        <f t="shared" si="3"/>
        <v>63</v>
      </c>
      <c r="F57" s="32">
        <f t="shared" si="3"/>
        <v>37</v>
      </c>
      <c r="G57" s="32">
        <f t="shared" si="3"/>
        <v>19</v>
      </c>
      <c r="H57" s="33">
        <f t="shared" si="3"/>
        <v>11</v>
      </c>
      <c r="I57" s="38"/>
      <c r="J57" s="39"/>
      <c r="K57" s="39"/>
      <c r="L57" s="39"/>
      <c r="M57" s="39"/>
      <c r="N57" s="39"/>
      <c r="O57" s="39"/>
      <c r="P57" s="39"/>
      <c r="Q57" s="39"/>
    </row>
    <row r="58" spans="1:8" ht="15">
      <c r="A58" s="1"/>
      <c r="H58" s="10" t="s">
        <v>2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A1" sqref="A1:B1"/>
    </sheetView>
  </sheetViews>
  <sheetFormatPr defaultColWidth="11.421875" defaultRowHeight="15"/>
  <cols>
    <col min="1" max="1" width="33.00390625" style="0" customWidth="1"/>
    <col min="2" max="2" width="13.7109375" style="0" customWidth="1"/>
    <col min="3" max="3" width="6.421875" style="0" customWidth="1"/>
    <col min="4" max="4" width="12.57421875" style="0" bestFit="1" customWidth="1"/>
  </cols>
  <sheetData>
    <row r="1" spans="1:2" ht="37.5" customHeight="1">
      <c r="A1" s="54" t="s">
        <v>0</v>
      </c>
      <c r="B1" s="54"/>
    </row>
    <row r="2" spans="1:2" ht="15">
      <c r="A2" s="41" t="s">
        <v>1</v>
      </c>
      <c r="B2" s="42">
        <f>_xlfn.CUBEMEMBER("walle RP2012","[Measures].[Individus de 15 ans et plus]","")</f>
      </c>
    </row>
    <row r="3" spans="1:2" ht="15">
      <c r="A3" s="4" t="str">
        <f>_xlfn.CUBEMEMBER("walle RP2012","[Individus].[Dernier Diplôme Obtenu].[All]","Ensemble (population de 15 ans et plus)")</f>
        <v>Ensemble (population de 15 ans et plus)</v>
      </c>
      <c r="B3" s="5">
        <f aca="true" t="shared" si="0" ref="B3:B15">_xlfn.CUBEVALUE("walle RP2012",$A3,B$2)</f>
        <v>202825</v>
      </c>
    </row>
    <row r="4" spans="1:2" ht="15">
      <c r="A4" s="6" t="str">
        <f>_xlfn.CUBEMEMBER("walle RP2012","[Individus].[Dernier Diplôme Obtenu].&amp;[0]")</f>
        <v>Aucun diplôme</v>
      </c>
      <c r="B4" s="7">
        <f t="shared" si="0"/>
        <v>62927</v>
      </c>
    </row>
    <row r="5" spans="1:2" ht="15">
      <c r="A5" s="6" t="str">
        <f>_xlfn.CUBESET("walle RP2012","{[Individus].[Dernier Diplôme Obtenu].&amp;[1],[Individus].[Dernier Diplôme Obtenu].&amp;[2]}","Diplôme Inférieur au BEPC")</f>
        <v>Diplôme Inférieur au BEPC</v>
      </c>
      <c r="B5" s="7">
        <f t="shared" si="0"/>
        <v>51032</v>
      </c>
    </row>
    <row r="6" spans="1:2" ht="15">
      <c r="A6" s="8" t="str">
        <f>_xlfn.CUBEMEMBER("walle RP2012","[Individus].[Dernier Diplôme Obtenu].&amp;[1]")</f>
        <v>CEP</v>
      </c>
      <c r="B6" s="7">
        <f t="shared" si="0"/>
        <v>21915</v>
      </c>
    </row>
    <row r="7" spans="1:2" ht="15">
      <c r="A7" s="8" t="str">
        <f>_xlfn.CUBEMEMBER("walle RP2012","[Individus].[Dernier Diplôme Obtenu].&amp;[2]")</f>
        <v>BEPC</v>
      </c>
      <c r="B7" s="7">
        <f t="shared" si="0"/>
        <v>29117</v>
      </c>
    </row>
    <row r="8" spans="1:2" ht="15">
      <c r="A8" s="6" t="str">
        <f>_xlfn.CUBESET("walle RP2012","{[Individus].[Dernier Diplôme Obtenu].&amp;[3],[Individus].[Dernier Diplôme Obtenu].&amp;[4]}","CAP-BEP")</f>
        <v>CAP-BEP</v>
      </c>
      <c r="B8" s="7">
        <f t="shared" si="0"/>
        <v>34262</v>
      </c>
    </row>
    <row r="9" spans="1:2" ht="15">
      <c r="A9" s="8" t="str">
        <f>_xlfn.CUBEMEMBER("walle RP2012","[Individus].[Dernier Diplôme Obtenu].&amp;[3]")</f>
        <v>CAP</v>
      </c>
      <c r="B9" s="7">
        <f t="shared" si="0"/>
        <v>15393</v>
      </c>
    </row>
    <row r="10" spans="1:2" ht="15">
      <c r="A10" s="8" t="str">
        <f>_xlfn.CUBEMEMBER("walle RP2012","[Individus].[Dernier Diplôme Obtenu].&amp;[4]")</f>
        <v>BEP</v>
      </c>
      <c r="B10" s="7">
        <f t="shared" si="0"/>
        <v>18869</v>
      </c>
    </row>
    <row r="11" spans="1:2" ht="15">
      <c r="A11" s="6" t="str">
        <f>_xlfn.CUBESET("walle RP2012","{[Individus].[Dernier Diplôme Obtenu].&amp;[5],[Individus].[Dernier Diplôme Obtenu].&amp;[6]}","Bac général, techno. ou pro.")</f>
        <v>Bac général, techno. ou pro.</v>
      </c>
      <c r="B11" s="7">
        <f t="shared" si="0"/>
        <v>29961</v>
      </c>
    </row>
    <row r="12" spans="1:4" ht="15">
      <c r="A12" s="8" t="str">
        <f>_xlfn.CUBEMEMBER("walle RP2012","[Individus].[Dernier Diplôme Obtenu].&amp;[5]")</f>
        <v>Bac général</v>
      </c>
      <c r="B12" s="7">
        <f t="shared" si="0"/>
        <v>14970</v>
      </c>
      <c r="D12" s="9"/>
    </row>
    <row r="13" spans="1:2" ht="15">
      <c r="A13" s="8" t="str">
        <f>_xlfn.CUBEMEMBER("walle RP2012","[Individus].[Dernier Diplôme Obtenu].&amp;[6]")</f>
        <v>Bac technologique</v>
      </c>
      <c r="B13" s="7">
        <f t="shared" si="0"/>
        <v>14991</v>
      </c>
    </row>
    <row r="14" spans="1:2" ht="15">
      <c r="A14" s="6" t="str">
        <f>_xlfn.CUBEMEMBER("walle RP2012","[Individus].[Dernier Diplôme Obtenu].&amp;[7]","Diplôme du 1er cycle")</f>
        <v>Diplôme du 1er cycle</v>
      </c>
      <c r="B14" s="7">
        <f t="shared" si="0"/>
        <v>14519</v>
      </c>
    </row>
    <row r="15" spans="1:2" ht="15">
      <c r="A15" s="12" t="str">
        <f>_xlfn.CUBEMEMBER("walle RP2012","[Individus].[Dernier Diplôme Obtenu].&amp;[8]","Diplôme du 2ème ou 3ème cycle")</f>
        <v>Diplôme du 2ème ou 3ème cycle</v>
      </c>
      <c r="B15" s="13">
        <f t="shared" si="0"/>
        <v>10124</v>
      </c>
    </row>
    <row r="16" spans="1:2" ht="15">
      <c r="A16" s="9"/>
      <c r="B16" s="10" t="s">
        <v>2</v>
      </c>
    </row>
    <row r="18" spans="1:2" ht="15">
      <c r="A18" s="11" t="s">
        <v>3</v>
      </c>
      <c r="B18" s="3">
        <f>_xlfn.CUBEMEMBER("walle RP2012","[Measures].[Individus de 15 ans et plus]","")</f>
      </c>
    </row>
    <row r="19" spans="1:2" ht="15">
      <c r="A19" s="4" t="str">
        <f>_xlfn.CUBEMEMBER("walle RP2012","[Individus].[Dernier Diplôme Obtenu].[All]","Ensemble (population de 15 ans et plus)")</f>
        <v>Ensemble (population de 15 ans et plus)</v>
      </c>
      <c r="B19" s="5">
        <f aca="true" t="shared" si="1" ref="B19:B25">_xlfn.CUBEVALUE("walle RP2012",$A19,B$18)</f>
        <v>202825</v>
      </c>
    </row>
    <row r="20" spans="1:2" ht="15">
      <c r="A20" s="6" t="str">
        <f>_xlfn.CUBEMEMBER("walle RP2012","[Individus].[Niveau études].&amp;[1]")</f>
        <v>Aucune scolarité</v>
      </c>
      <c r="B20" s="7">
        <f t="shared" si="1"/>
        <v>7386</v>
      </c>
    </row>
    <row r="21" spans="1:2" ht="15">
      <c r="A21" s="6" t="str">
        <f>_xlfn.CUBEMEMBER("walle RP2012","[Individus].[Niveau études].&amp;[2]")</f>
        <v>Ecole primaire</v>
      </c>
      <c r="B21" s="7">
        <f t="shared" si="1"/>
        <v>35024</v>
      </c>
    </row>
    <row r="22" spans="1:2" ht="15">
      <c r="A22" s="6" t="str">
        <f>_xlfn.CUBEMEMBER("walle RP2012","[Individus].[Niveau études].&amp;[3]")</f>
        <v>Collège</v>
      </c>
      <c r="B22" s="7">
        <f t="shared" si="1"/>
        <v>50412</v>
      </c>
    </row>
    <row r="23" spans="1:2" ht="15">
      <c r="A23" s="6" t="str">
        <f>_xlfn.CUBEMEMBER("walle RP2012","[Individus].[Niveau études].&amp;[4]")</f>
        <v>CAP-BEP</v>
      </c>
      <c r="B23" s="7">
        <f t="shared" si="1"/>
        <v>39378</v>
      </c>
    </row>
    <row r="24" spans="1:2" ht="15">
      <c r="A24" s="6" t="str">
        <f>_xlfn.CUBEMEMBER("walle RP2012","[Individus].[Niveau études].&amp;[5]")</f>
        <v>Lycée</v>
      </c>
      <c r="B24" s="7">
        <f t="shared" si="1"/>
        <v>34557</v>
      </c>
    </row>
    <row r="25" spans="1:2" ht="15">
      <c r="A25" s="12" t="str">
        <f>_xlfn.CUBEMEMBER("walle RP2012","[Individus].[Niveau études].&amp;[6]")</f>
        <v>Etudes supérieures (facultés, IUT..).</v>
      </c>
      <c r="B25" s="13">
        <f t="shared" si="1"/>
        <v>36068</v>
      </c>
    </row>
    <row r="26" spans="1:2" ht="15">
      <c r="A26" s="14"/>
      <c r="B26" s="10" t="s">
        <v>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A1" sqref="A1:J1"/>
    </sheetView>
  </sheetViews>
  <sheetFormatPr defaultColWidth="11.421875" defaultRowHeight="15"/>
  <cols>
    <col min="1" max="1" width="10.7109375" style="0" customWidth="1"/>
    <col min="2" max="2" width="7.8515625" style="0" customWidth="1"/>
    <col min="3" max="3" width="8.00390625" style="0" customWidth="1"/>
    <col min="4" max="4" width="8.28125" style="0" customWidth="1"/>
    <col min="5" max="5" width="6.00390625" style="0" customWidth="1"/>
    <col min="6" max="7" width="6.8515625" style="0" customWidth="1"/>
    <col min="8" max="8" width="8.8515625" style="0" customWidth="1"/>
    <col min="9" max="9" width="10.00390625" style="0" customWidth="1"/>
    <col min="10" max="10" width="10.8515625" style="0" customWidth="1"/>
    <col min="11" max="11" width="12.57421875" style="0" bestFit="1" customWidth="1"/>
  </cols>
  <sheetData>
    <row r="1" spans="1:10" ht="40.5" customHeight="1">
      <c r="A1" s="54" t="s">
        <v>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3.75">
      <c r="A2" s="2" t="str">
        <f>_xlfn.CUBEMEMBER("walle RP2012","[Measures].[Individus de 15 ans et plus]","Sexe et âge")</f>
        <v>Sexe et âge</v>
      </c>
      <c r="B2" s="15" t="str">
        <f>_xlfn.CUBEMEMBER("walle RP2012","[Individus].[Dernier Diplôme Obtenu].[All]","Ensemble")</f>
        <v>Ensemble</v>
      </c>
      <c r="C2" s="15" t="str">
        <f>_xlfn.CUBEMEMBER("walle RP2012","[Individus].[Dernier Diplôme Obtenu].&amp;[0]")</f>
        <v>Aucun diplôme</v>
      </c>
      <c r="D2" s="15" t="str">
        <f>_xlfn.CUBEMEMBER("walle RP2012","[Individus].[Dernier Diplôme Obtenu].&amp;[1]","Inférieur au BEPC")</f>
        <v>Inférieur au BEPC</v>
      </c>
      <c r="E2" s="15" t="str">
        <f>_xlfn.CUBEMEMBER("walle RP2012","[Individus].[Dernier Diplôme Obtenu].&amp;[2]")</f>
        <v>BEPC</v>
      </c>
      <c r="F2" s="15" t="str">
        <f>_xlfn.CUBESET("walle RP2012","{[Individus].[Dernier Diplôme Obtenu].&amp;[3],[Individus].[Dernier Diplôme Obtenu].&amp;[4]}","CAP-BEP")</f>
        <v>CAP-BEP</v>
      </c>
      <c r="G2" s="15" t="str">
        <f>_xlfn.CUBEMEMBER("walle RP2012","[Individus].[Dernier Diplôme Obtenu].&amp;[5]")</f>
        <v>Bac général</v>
      </c>
      <c r="H2" s="15" t="str">
        <f>_xlfn.CUBEMEMBER("walle RP2012","[Individus].[Dernier Diplôme Obtenu].&amp;[6]","bac techno. ou pro")</f>
        <v>bac techno. ou pro</v>
      </c>
      <c r="I2" s="15" t="str">
        <f>_xlfn.CUBEMEMBER("walle RP2012","[Individus].[Dernier Diplôme Obtenu].&amp;[7]")</f>
        <v>1er cycle Universitaire</v>
      </c>
      <c r="J2" s="16" t="str">
        <f>_xlfn.CUBEMEMBER("walle RP2012","[Individus].[Dernier Diplôme Obtenu].&amp;[8]","2e ou 3e cycle universitaire")</f>
        <v>2e ou 3e cycle universitaire</v>
      </c>
    </row>
    <row r="3" spans="1:10" ht="15">
      <c r="A3" s="17" t="str">
        <f>_xlfn.CUBEMEMBER("walle RP2012","[Individus].[Age quinquennal].[All]","Ensemble")</f>
        <v>Ensemble</v>
      </c>
      <c r="B3" s="18">
        <f aca="true" t="shared" si="0" ref="B3:J12">_xlfn.CUBEVALUE("walle RP2012",$A$2,$A3,B$2)</f>
        <v>202825</v>
      </c>
      <c r="C3" s="18">
        <f t="shared" si="0"/>
        <v>62927</v>
      </c>
      <c r="D3" s="18">
        <f t="shared" si="0"/>
        <v>21915</v>
      </c>
      <c r="E3" s="18">
        <f t="shared" si="0"/>
        <v>29117</v>
      </c>
      <c r="F3" s="18">
        <f t="shared" si="0"/>
        <v>34262</v>
      </c>
      <c r="G3" s="18">
        <f t="shared" si="0"/>
        <v>14970</v>
      </c>
      <c r="H3" s="18">
        <f t="shared" si="0"/>
        <v>14991</v>
      </c>
      <c r="I3" s="18">
        <f t="shared" si="0"/>
        <v>14519</v>
      </c>
      <c r="J3" s="19">
        <f t="shared" si="0"/>
        <v>10124</v>
      </c>
    </row>
    <row r="4" spans="1:10" ht="15">
      <c r="A4" s="6" t="str">
        <f>_xlfn.CUBEMEMBER("walle RP2012","[Individus].[Age quinquennal].[Age quinquennal 80].&amp;[3]")</f>
        <v>15-19 ans</v>
      </c>
      <c r="B4" s="20">
        <f t="shared" si="0"/>
        <v>23048</v>
      </c>
      <c r="C4" s="20">
        <f t="shared" si="0"/>
        <v>5904</v>
      </c>
      <c r="D4" s="20">
        <f t="shared" si="0"/>
        <v>1150</v>
      </c>
      <c r="E4" s="20">
        <f t="shared" si="0"/>
        <v>10446</v>
      </c>
      <c r="F4" s="20">
        <f t="shared" si="0"/>
        <v>2589</v>
      </c>
      <c r="G4" s="20">
        <f t="shared" si="0"/>
        <v>1498</v>
      </c>
      <c r="H4" s="20">
        <f t="shared" si="0"/>
        <v>1314</v>
      </c>
      <c r="I4" s="20">
        <f t="shared" si="0"/>
        <v>142</v>
      </c>
      <c r="J4" s="21">
        <f t="shared" si="0"/>
        <v>5</v>
      </c>
    </row>
    <row r="5" spans="1:10" ht="15">
      <c r="A5" s="6" t="str">
        <f>_xlfn.CUBEMEMBER("walle RP2012","[Individus].[Age quinquennal].[Age quinquennal 80].&amp;[4]")</f>
        <v>20-24 ans</v>
      </c>
      <c r="B5" s="20">
        <f t="shared" si="0"/>
        <v>22884</v>
      </c>
      <c r="C5" s="20">
        <f t="shared" si="0"/>
        <v>5198</v>
      </c>
      <c r="D5" s="20">
        <f t="shared" si="0"/>
        <v>807</v>
      </c>
      <c r="E5" s="20">
        <f t="shared" si="0"/>
        <v>3594</v>
      </c>
      <c r="F5" s="20">
        <f t="shared" si="0"/>
        <v>4378</v>
      </c>
      <c r="G5" s="20">
        <f t="shared" si="0"/>
        <v>2799</v>
      </c>
      <c r="H5" s="20">
        <f t="shared" si="0"/>
        <v>3943</v>
      </c>
      <c r="I5" s="20">
        <f t="shared" si="0"/>
        <v>1818</v>
      </c>
      <c r="J5" s="21">
        <f t="shared" si="0"/>
        <v>347</v>
      </c>
    </row>
    <row r="6" spans="1:10" ht="15">
      <c r="A6" s="6" t="str">
        <f>_xlfn.CUBEMEMBER("walle RP2012","[Individus].[Age quinquennal].[Age quinquennal 80].&amp;[5]")</f>
        <v>25-29 ans</v>
      </c>
      <c r="B6" s="20">
        <f t="shared" si="0"/>
        <v>22280</v>
      </c>
      <c r="C6" s="20">
        <f t="shared" si="0"/>
        <v>5467</v>
      </c>
      <c r="D6" s="20">
        <f t="shared" si="0"/>
        <v>914</v>
      </c>
      <c r="E6" s="20">
        <f t="shared" si="0"/>
        <v>2731</v>
      </c>
      <c r="F6" s="20">
        <f t="shared" si="0"/>
        <v>4665</v>
      </c>
      <c r="G6" s="20">
        <f t="shared" si="0"/>
        <v>2056</v>
      </c>
      <c r="H6" s="20">
        <f t="shared" si="0"/>
        <v>3058</v>
      </c>
      <c r="I6" s="20">
        <f t="shared" si="0"/>
        <v>2346</v>
      </c>
      <c r="J6" s="21">
        <f t="shared" si="0"/>
        <v>1043</v>
      </c>
    </row>
    <row r="7" spans="1:10" ht="15">
      <c r="A7" s="6" t="str">
        <f>_xlfn.CUBEMEMBER("walle RP2012","[Individus].[Age quinquennal].[Age quinquennal 80].&amp;[6]")</f>
        <v>30-34 ans</v>
      </c>
      <c r="B7" s="20">
        <f t="shared" si="0"/>
        <v>20218</v>
      </c>
      <c r="C7" s="20">
        <f t="shared" si="0"/>
        <v>5082</v>
      </c>
      <c r="D7" s="20">
        <f t="shared" si="0"/>
        <v>1226</v>
      </c>
      <c r="E7" s="20">
        <f t="shared" si="0"/>
        <v>2159</v>
      </c>
      <c r="F7" s="20">
        <f t="shared" si="0"/>
        <v>4350</v>
      </c>
      <c r="G7" s="20">
        <f t="shared" si="0"/>
        <v>1782</v>
      </c>
      <c r="H7" s="20">
        <f t="shared" si="0"/>
        <v>2166</v>
      </c>
      <c r="I7" s="20">
        <f t="shared" si="0"/>
        <v>2117</v>
      </c>
      <c r="J7" s="21">
        <f t="shared" si="0"/>
        <v>1336</v>
      </c>
    </row>
    <row r="8" spans="1:10" ht="15">
      <c r="A8" s="6" t="str">
        <f>_xlfn.CUBEMEMBER("walle RP2012","[Individus].[Age quinquennal].[Age quinquennal 80].&amp;[7]")</f>
        <v>35-39 ans</v>
      </c>
      <c r="B8" s="20">
        <f t="shared" si="0"/>
        <v>19792</v>
      </c>
      <c r="C8" s="20">
        <f t="shared" si="0"/>
        <v>5669</v>
      </c>
      <c r="D8" s="20">
        <f t="shared" si="0"/>
        <v>1826</v>
      </c>
      <c r="E8" s="20">
        <f t="shared" si="0"/>
        <v>1854</v>
      </c>
      <c r="F8" s="20">
        <f t="shared" si="0"/>
        <v>3763</v>
      </c>
      <c r="G8" s="20">
        <f t="shared" si="0"/>
        <v>1679</v>
      </c>
      <c r="H8" s="20">
        <f t="shared" si="0"/>
        <v>1521</v>
      </c>
      <c r="I8" s="20">
        <f t="shared" si="0"/>
        <v>2050</v>
      </c>
      <c r="J8" s="21">
        <f t="shared" si="0"/>
        <v>1430</v>
      </c>
    </row>
    <row r="9" spans="1:10" ht="15">
      <c r="A9" s="6" t="str">
        <f>_xlfn.CUBEMEMBER("walle RP2012","[Individus].[Age quinquennal].[Age quinquennal 80].&amp;[8]")</f>
        <v>40-44 ans</v>
      </c>
      <c r="B9" s="20">
        <f t="shared" si="0"/>
        <v>20525</v>
      </c>
      <c r="C9" s="20">
        <f t="shared" si="0"/>
        <v>6309</v>
      </c>
      <c r="D9" s="20">
        <f t="shared" si="0"/>
        <v>2797</v>
      </c>
      <c r="E9" s="20">
        <f t="shared" si="0"/>
        <v>1765</v>
      </c>
      <c r="F9" s="20">
        <f t="shared" si="0"/>
        <v>3915</v>
      </c>
      <c r="G9" s="20">
        <f t="shared" si="0"/>
        <v>1382</v>
      </c>
      <c r="H9" s="20">
        <f t="shared" si="0"/>
        <v>1081</v>
      </c>
      <c r="I9" s="20">
        <f t="shared" si="0"/>
        <v>1804</v>
      </c>
      <c r="J9" s="21">
        <f t="shared" si="0"/>
        <v>1472</v>
      </c>
    </row>
    <row r="10" spans="1:10" ht="15">
      <c r="A10" s="6" t="str">
        <f>_xlfn.CUBEMEMBER("walle RP2012","[Individus].[Age quinquennal].[Age quinquennal 80].&amp;[9]")</f>
        <v>45-49 ans</v>
      </c>
      <c r="B10" s="20">
        <f t="shared" si="0"/>
        <v>18962</v>
      </c>
      <c r="C10" s="20">
        <f t="shared" si="0"/>
        <v>5873</v>
      </c>
      <c r="D10" s="20">
        <f t="shared" si="0"/>
        <v>3147</v>
      </c>
      <c r="E10" s="20">
        <f t="shared" si="0"/>
        <v>1697</v>
      </c>
      <c r="F10" s="20">
        <f t="shared" si="0"/>
        <v>3796</v>
      </c>
      <c r="G10" s="20">
        <f t="shared" si="0"/>
        <v>1113</v>
      </c>
      <c r="H10" s="20">
        <f t="shared" si="0"/>
        <v>742</v>
      </c>
      <c r="I10" s="20">
        <f t="shared" si="0"/>
        <v>1410</v>
      </c>
      <c r="J10" s="21">
        <f t="shared" si="0"/>
        <v>1184</v>
      </c>
    </row>
    <row r="11" spans="1:10" ht="15">
      <c r="A11" s="6" t="str">
        <f>_xlfn.CUBEMEMBER("walle RP2012","[Individus].[Age quinquennal].[Age quinquennal 80].&amp;[10]")</f>
        <v>50-54 ans</v>
      </c>
      <c r="B11" s="20">
        <f t="shared" si="0"/>
        <v>15313</v>
      </c>
      <c r="C11" s="20">
        <f t="shared" si="0"/>
        <v>5056</v>
      </c>
      <c r="D11" s="20">
        <f t="shared" si="0"/>
        <v>2741</v>
      </c>
      <c r="E11" s="20">
        <f t="shared" si="0"/>
        <v>1396</v>
      </c>
      <c r="F11" s="20">
        <f t="shared" si="0"/>
        <v>2736</v>
      </c>
      <c r="G11" s="20">
        <f t="shared" si="0"/>
        <v>909</v>
      </c>
      <c r="H11" s="20">
        <f t="shared" si="0"/>
        <v>452</v>
      </c>
      <c r="I11" s="20">
        <f t="shared" si="0"/>
        <v>984</v>
      </c>
      <c r="J11" s="21">
        <f t="shared" si="0"/>
        <v>1039</v>
      </c>
    </row>
    <row r="12" spans="1:10" ht="15">
      <c r="A12" s="6" t="str">
        <f>_xlfn.CUBEMEMBER("walle RP2012","[Individus].[Age quinquennal].[Age quinquennal 80].&amp;[11]")</f>
        <v>55-59 ans</v>
      </c>
      <c r="B12" s="20">
        <f t="shared" si="0"/>
        <v>12668</v>
      </c>
      <c r="C12" s="20">
        <f t="shared" si="0"/>
        <v>4512</v>
      </c>
      <c r="D12" s="20">
        <f t="shared" si="0"/>
        <v>2445</v>
      </c>
      <c r="E12" s="20">
        <f t="shared" si="0"/>
        <v>1236</v>
      </c>
      <c r="F12" s="20">
        <f t="shared" si="0"/>
        <v>1934</v>
      </c>
      <c r="G12" s="20">
        <f t="shared" si="0"/>
        <v>685</v>
      </c>
      <c r="H12" s="20">
        <f t="shared" si="0"/>
        <v>308</v>
      </c>
      <c r="I12" s="20">
        <f t="shared" si="0"/>
        <v>778</v>
      </c>
      <c r="J12" s="21">
        <f t="shared" si="0"/>
        <v>770</v>
      </c>
    </row>
    <row r="13" spans="1:10" ht="15">
      <c r="A13" s="6" t="str">
        <f>_xlfn.CUBEMEMBER("walle RP2012","[Individus].[Age quinquennal].[Age quinquennal 80].&amp;[12]")</f>
        <v>60-64 ans</v>
      </c>
      <c r="B13" s="20">
        <f aca="true" t="shared" si="1" ref="B13:J22">_xlfn.CUBEVALUE("walle RP2012",$A$2,$A13,B$2)</f>
        <v>9085</v>
      </c>
      <c r="C13" s="20">
        <f t="shared" si="1"/>
        <v>3606</v>
      </c>
      <c r="D13" s="20">
        <f t="shared" si="1"/>
        <v>1769</v>
      </c>
      <c r="E13" s="20">
        <f t="shared" si="1"/>
        <v>858</v>
      </c>
      <c r="F13" s="20">
        <f t="shared" si="1"/>
        <v>1088</v>
      </c>
      <c r="G13" s="20">
        <f t="shared" si="1"/>
        <v>443</v>
      </c>
      <c r="H13" s="20">
        <f t="shared" si="1"/>
        <v>177</v>
      </c>
      <c r="I13" s="20">
        <f t="shared" si="1"/>
        <v>499</v>
      </c>
      <c r="J13" s="21">
        <f t="shared" si="1"/>
        <v>645</v>
      </c>
    </row>
    <row r="14" spans="1:10" ht="15">
      <c r="A14" s="6" t="str">
        <f>_xlfn.CUBEMEMBER("walle RP2012","[Individus].[Age quinquennal].[Age quinquennal 80].&amp;[13]")</f>
        <v>65-69 ans</v>
      </c>
      <c r="B14" s="20">
        <f t="shared" si="1"/>
        <v>6862</v>
      </c>
      <c r="C14" s="20">
        <f t="shared" si="1"/>
        <v>3257</v>
      </c>
      <c r="D14" s="20">
        <f t="shared" si="1"/>
        <v>1256</v>
      </c>
      <c r="E14" s="20">
        <f t="shared" si="1"/>
        <v>612</v>
      </c>
      <c r="F14" s="20">
        <f t="shared" si="1"/>
        <v>575</v>
      </c>
      <c r="G14" s="20">
        <f t="shared" si="1"/>
        <v>313</v>
      </c>
      <c r="H14" s="20">
        <f t="shared" si="1"/>
        <v>107</v>
      </c>
      <c r="I14" s="20">
        <f t="shared" si="1"/>
        <v>306</v>
      </c>
      <c r="J14" s="21">
        <f t="shared" si="1"/>
        <v>436</v>
      </c>
    </row>
    <row r="15" spans="1:10" ht="15">
      <c r="A15" s="6" t="str">
        <f>_xlfn.CUBEMEMBER("walle RP2012","[Individus].[Age quinquennal].[Age quinquennal 80].&amp;[14]")</f>
        <v>70-74 ans</v>
      </c>
      <c r="B15" s="20">
        <f t="shared" si="1"/>
        <v>5015</v>
      </c>
      <c r="C15" s="20">
        <f t="shared" si="1"/>
        <v>2878</v>
      </c>
      <c r="D15" s="20">
        <f t="shared" si="1"/>
        <v>935</v>
      </c>
      <c r="E15" s="20">
        <f t="shared" si="1"/>
        <v>378</v>
      </c>
      <c r="F15" s="20">
        <f t="shared" si="1"/>
        <v>248</v>
      </c>
      <c r="G15" s="20">
        <f t="shared" si="1"/>
        <v>150</v>
      </c>
      <c r="H15" s="20">
        <f t="shared" si="1"/>
        <v>61</v>
      </c>
      <c r="I15" s="20">
        <f t="shared" si="1"/>
        <v>150</v>
      </c>
      <c r="J15" s="21">
        <f t="shared" si="1"/>
        <v>215</v>
      </c>
    </row>
    <row r="16" spans="1:10" ht="15">
      <c r="A16" s="6" t="str">
        <f>_xlfn.CUBEMEMBER("walle RP2012","[Individus].[Age quinquennal].[Age quinquennal 80].&amp;[15]")</f>
        <v>75-79 ans</v>
      </c>
      <c r="B16" s="20">
        <f t="shared" si="1"/>
        <v>3340</v>
      </c>
      <c r="C16" s="20">
        <f t="shared" si="1"/>
        <v>2169</v>
      </c>
      <c r="D16" s="20">
        <f t="shared" si="1"/>
        <v>492</v>
      </c>
      <c r="E16" s="20">
        <f t="shared" si="1"/>
        <v>229</v>
      </c>
      <c r="F16" s="20">
        <f t="shared" si="1"/>
        <v>142</v>
      </c>
      <c r="G16" s="20">
        <f t="shared" si="1"/>
        <v>90</v>
      </c>
      <c r="H16" s="20">
        <f t="shared" si="1"/>
        <v>35</v>
      </c>
      <c r="I16" s="20">
        <f t="shared" si="1"/>
        <v>64</v>
      </c>
      <c r="J16" s="21">
        <f t="shared" si="1"/>
        <v>119</v>
      </c>
    </row>
    <row r="17" spans="1:10" ht="15">
      <c r="A17" s="6" t="str">
        <f>_xlfn.CUBEMEMBER("walle RP2012","[Individus].[Age quinquennal].[Age quinquennal 80].&amp;[16]")</f>
        <v>80 ans et plus</v>
      </c>
      <c r="B17" s="20">
        <f t="shared" si="1"/>
        <v>2833</v>
      </c>
      <c r="C17" s="20">
        <f t="shared" si="1"/>
        <v>1947</v>
      </c>
      <c r="D17" s="20">
        <f t="shared" si="1"/>
        <v>410</v>
      </c>
      <c r="E17" s="20">
        <f t="shared" si="1"/>
        <v>162</v>
      </c>
      <c r="F17" s="20">
        <f t="shared" si="1"/>
        <v>83</v>
      </c>
      <c r="G17" s="20">
        <f t="shared" si="1"/>
        <v>71</v>
      </c>
      <c r="H17" s="20">
        <f t="shared" si="1"/>
        <v>26</v>
      </c>
      <c r="I17" s="20">
        <f t="shared" si="1"/>
        <v>51</v>
      </c>
      <c r="J17" s="21">
        <f t="shared" si="1"/>
        <v>83</v>
      </c>
    </row>
    <row r="18" spans="1:10" ht="15">
      <c r="A18" s="17" t="str">
        <f>_xlfn.CUBEMEMBER("walle RP2012","[Individus].[Sexe].&amp;[1]")</f>
        <v>Hommes</v>
      </c>
      <c r="B18" s="18">
        <f t="shared" si="1"/>
        <v>103385</v>
      </c>
      <c r="C18" s="18">
        <f t="shared" si="1"/>
        <v>35849</v>
      </c>
      <c r="D18" s="18">
        <f t="shared" si="1"/>
        <v>10702</v>
      </c>
      <c r="E18" s="18">
        <f t="shared" si="1"/>
        <v>13412</v>
      </c>
      <c r="F18" s="18">
        <f t="shared" si="1"/>
        <v>18424</v>
      </c>
      <c r="G18" s="18">
        <f t="shared" si="1"/>
        <v>6200</v>
      </c>
      <c r="H18" s="18">
        <f t="shared" si="1"/>
        <v>6903</v>
      </c>
      <c r="I18" s="18">
        <f t="shared" si="1"/>
        <v>6470</v>
      </c>
      <c r="J18" s="19">
        <f t="shared" si="1"/>
        <v>5425</v>
      </c>
    </row>
    <row r="19" spans="1:10" ht="15">
      <c r="A19" s="6" t="str">
        <f>_xlfn.CUBEMEMBER("walle RP2012",{"[Individus].[Sexe].&amp;[1]","[Individus].[Age quinquennal].[Age quinquennal 80].&amp;[3]"})</f>
        <v>15-19 ans</v>
      </c>
      <c r="B19" s="20">
        <f t="shared" si="1"/>
        <v>11860</v>
      </c>
      <c r="C19" s="20">
        <f t="shared" si="1"/>
        <v>3730</v>
      </c>
      <c r="D19" s="20">
        <f t="shared" si="1"/>
        <v>678</v>
      </c>
      <c r="E19" s="20">
        <f t="shared" si="1"/>
        <v>4865</v>
      </c>
      <c r="F19" s="20">
        <f t="shared" si="1"/>
        <v>1405</v>
      </c>
      <c r="G19" s="20">
        <f t="shared" si="1"/>
        <v>558</v>
      </c>
      <c r="H19" s="20">
        <f t="shared" si="1"/>
        <v>566</v>
      </c>
      <c r="I19" s="20">
        <f t="shared" si="1"/>
        <v>57</v>
      </c>
      <c r="J19" s="21">
        <f t="shared" si="1"/>
        <v>1</v>
      </c>
    </row>
    <row r="20" spans="1:10" ht="15">
      <c r="A20" s="6" t="str">
        <f>_xlfn.CUBEMEMBER("walle RP2012",{"[Individus].[Sexe].&amp;[1]","[Individus].[Age quinquennal].[Age quinquennal 80].&amp;[4]"})</f>
        <v>20-24 ans</v>
      </c>
      <c r="B20" s="20">
        <f t="shared" si="1"/>
        <v>11578</v>
      </c>
      <c r="C20" s="20">
        <f t="shared" si="1"/>
        <v>3213</v>
      </c>
      <c r="D20" s="20">
        <f t="shared" si="1"/>
        <v>470</v>
      </c>
      <c r="E20" s="20">
        <f t="shared" si="1"/>
        <v>1715</v>
      </c>
      <c r="F20" s="20">
        <f t="shared" si="1"/>
        <v>2382</v>
      </c>
      <c r="G20" s="20">
        <f t="shared" si="1"/>
        <v>1172</v>
      </c>
      <c r="H20" s="20">
        <f t="shared" si="1"/>
        <v>1833</v>
      </c>
      <c r="I20" s="20">
        <f t="shared" si="1"/>
        <v>663</v>
      </c>
      <c r="J20" s="21">
        <f t="shared" si="1"/>
        <v>130</v>
      </c>
    </row>
    <row r="21" spans="1:10" ht="15">
      <c r="A21" s="6" t="str">
        <f>_xlfn.CUBEMEMBER("walle RP2012",{"[Individus].[Sexe].&amp;[1]","[Individus].[Age quinquennal].[Age quinquennal 80].&amp;[5]"})</f>
        <v>25-29 ans</v>
      </c>
      <c r="B21" s="20">
        <f t="shared" si="1"/>
        <v>11093</v>
      </c>
      <c r="C21" s="20">
        <f t="shared" si="1"/>
        <v>3401</v>
      </c>
      <c r="D21" s="20">
        <f t="shared" si="1"/>
        <v>512</v>
      </c>
      <c r="E21" s="20">
        <f t="shared" si="1"/>
        <v>1256</v>
      </c>
      <c r="F21" s="20">
        <f t="shared" si="1"/>
        <v>2535</v>
      </c>
      <c r="G21" s="20">
        <f t="shared" si="1"/>
        <v>796</v>
      </c>
      <c r="H21" s="20">
        <f t="shared" si="1"/>
        <v>1277</v>
      </c>
      <c r="I21" s="20">
        <f t="shared" si="1"/>
        <v>922</v>
      </c>
      <c r="J21" s="21">
        <f t="shared" si="1"/>
        <v>394</v>
      </c>
    </row>
    <row r="22" spans="1:10" ht="15">
      <c r="A22" s="6" t="str">
        <f>_xlfn.CUBEMEMBER("walle RP2012",{"[Individus].[Sexe].&amp;[1]","[Individus].[Age quinquennal].[Age quinquennal 80].&amp;[6]"})</f>
        <v>30-34 ans</v>
      </c>
      <c r="B22" s="20">
        <f t="shared" si="1"/>
        <v>10213</v>
      </c>
      <c r="C22" s="20">
        <f t="shared" si="1"/>
        <v>3059</v>
      </c>
      <c r="D22" s="20">
        <f t="shared" si="1"/>
        <v>683</v>
      </c>
      <c r="E22" s="20">
        <f t="shared" si="1"/>
        <v>982</v>
      </c>
      <c r="F22" s="20">
        <f t="shared" si="1"/>
        <v>2401</v>
      </c>
      <c r="G22" s="20">
        <f t="shared" si="1"/>
        <v>690</v>
      </c>
      <c r="H22" s="20">
        <f t="shared" si="1"/>
        <v>953</v>
      </c>
      <c r="I22" s="20">
        <f t="shared" si="1"/>
        <v>868</v>
      </c>
      <c r="J22" s="21">
        <f t="shared" si="1"/>
        <v>577</v>
      </c>
    </row>
    <row r="23" spans="1:10" ht="15">
      <c r="A23" s="6" t="str">
        <f>_xlfn.CUBEMEMBER("walle RP2012",{"[Individus].[Sexe].&amp;[1]","[Individus].[Age quinquennal].[Age quinquennal 80].&amp;[7]"})</f>
        <v>35-39 ans</v>
      </c>
      <c r="B23" s="20">
        <f aca="true" t="shared" si="2" ref="B23:J32">_xlfn.CUBEVALUE("walle RP2012",$A$2,$A23,B$2)</f>
        <v>10085</v>
      </c>
      <c r="C23" s="20">
        <f t="shared" si="2"/>
        <v>3352</v>
      </c>
      <c r="D23" s="20">
        <f t="shared" si="2"/>
        <v>871</v>
      </c>
      <c r="E23" s="20">
        <f t="shared" si="2"/>
        <v>854</v>
      </c>
      <c r="F23" s="20">
        <f t="shared" si="2"/>
        <v>2041</v>
      </c>
      <c r="G23" s="20">
        <f t="shared" si="2"/>
        <v>672</v>
      </c>
      <c r="H23" s="20">
        <f t="shared" si="2"/>
        <v>687</v>
      </c>
      <c r="I23" s="20">
        <f t="shared" si="2"/>
        <v>916</v>
      </c>
      <c r="J23" s="21">
        <f t="shared" si="2"/>
        <v>692</v>
      </c>
    </row>
    <row r="24" spans="1:10" ht="15">
      <c r="A24" s="6" t="str">
        <f>_xlfn.CUBEMEMBER("walle RP2012",{"[Individus].[Sexe].&amp;[1]","[Individus].[Age quinquennal].[Age quinquennal 80].&amp;[8]"})</f>
        <v>40-44 ans</v>
      </c>
      <c r="B24" s="20">
        <f t="shared" si="2"/>
        <v>10605</v>
      </c>
      <c r="C24" s="20">
        <f t="shared" si="2"/>
        <v>3766</v>
      </c>
      <c r="D24" s="20">
        <f t="shared" si="2"/>
        <v>1365</v>
      </c>
      <c r="E24" s="20">
        <f t="shared" si="2"/>
        <v>773</v>
      </c>
      <c r="F24" s="20">
        <f t="shared" si="2"/>
        <v>2020</v>
      </c>
      <c r="G24" s="20">
        <f t="shared" si="2"/>
        <v>571</v>
      </c>
      <c r="H24" s="20">
        <f t="shared" si="2"/>
        <v>501</v>
      </c>
      <c r="I24" s="20">
        <f t="shared" si="2"/>
        <v>854</v>
      </c>
      <c r="J24" s="21">
        <f t="shared" si="2"/>
        <v>755</v>
      </c>
    </row>
    <row r="25" spans="1:10" ht="15">
      <c r="A25" s="6" t="str">
        <f>_xlfn.CUBEMEMBER("walle RP2012",{"[Individus].[Sexe].&amp;[1]","[Individus].[Age quinquennal].[Age quinquennal 80].&amp;[9]"})</f>
        <v>45-49 ans</v>
      </c>
      <c r="B25" s="20">
        <f t="shared" si="2"/>
        <v>9839</v>
      </c>
      <c r="C25" s="20">
        <f t="shared" si="2"/>
        <v>3444</v>
      </c>
      <c r="D25" s="20">
        <f t="shared" si="2"/>
        <v>1540</v>
      </c>
      <c r="E25" s="20">
        <f t="shared" si="2"/>
        <v>689</v>
      </c>
      <c r="F25" s="20">
        <f t="shared" si="2"/>
        <v>1992</v>
      </c>
      <c r="G25" s="20">
        <f t="shared" si="2"/>
        <v>446</v>
      </c>
      <c r="H25" s="20">
        <f t="shared" si="2"/>
        <v>365</v>
      </c>
      <c r="I25" s="20">
        <f t="shared" si="2"/>
        <v>672</v>
      </c>
      <c r="J25" s="21">
        <f t="shared" si="2"/>
        <v>691</v>
      </c>
    </row>
    <row r="26" spans="1:10" ht="15">
      <c r="A26" s="6" t="str">
        <f>_xlfn.CUBEMEMBER("walle RP2012",{"[Individus].[Sexe].&amp;[1]","[Individus].[Age quinquennal].[Age quinquennal 80].&amp;[10]"})</f>
        <v>50-54 ans</v>
      </c>
      <c r="B26" s="20">
        <f t="shared" si="2"/>
        <v>8040</v>
      </c>
      <c r="C26" s="20">
        <f t="shared" si="2"/>
        <v>2919</v>
      </c>
      <c r="D26" s="20">
        <f t="shared" si="2"/>
        <v>1303</v>
      </c>
      <c r="E26" s="20">
        <f t="shared" si="2"/>
        <v>627</v>
      </c>
      <c r="F26" s="20">
        <f t="shared" si="2"/>
        <v>1423</v>
      </c>
      <c r="G26" s="20">
        <f t="shared" si="2"/>
        <v>395</v>
      </c>
      <c r="H26" s="20">
        <f t="shared" si="2"/>
        <v>263</v>
      </c>
      <c r="I26" s="20">
        <f t="shared" si="2"/>
        <v>478</v>
      </c>
      <c r="J26" s="21">
        <f t="shared" si="2"/>
        <v>632</v>
      </c>
    </row>
    <row r="27" spans="1:10" ht="15">
      <c r="A27" s="6" t="str">
        <f>_xlfn.CUBEMEMBER("walle RP2012",{"[Individus].[Sexe].&amp;[1]","[Individus].[Age quinquennal].[Age quinquennal 80].&amp;[11]"})</f>
        <v>55-59 ans</v>
      </c>
      <c r="B27" s="20">
        <f t="shared" si="2"/>
        <v>6592</v>
      </c>
      <c r="C27" s="20">
        <f t="shared" si="2"/>
        <v>2516</v>
      </c>
      <c r="D27" s="20">
        <f t="shared" si="2"/>
        <v>1128</v>
      </c>
      <c r="E27" s="20">
        <f t="shared" si="2"/>
        <v>547</v>
      </c>
      <c r="F27" s="20">
        <f t="shared" si="2"/>
        <v>1008</v>
      </c>
      <c r="G27" s="20">
        <f t="shared" si="2"/>
        <v>317</v>
      </c>
      <c r="H27" s="20">
        <f t="shared" si="2"/>
        <v>175</v>
      </c>
      <c r="I27" s="20">
        <f t="shared" si="2"/>
        <v>411</v>
      </c>
      <c r="J27" s="21">
        <f t="shared" si="2"/>
        <v>490</v>
      </c>
    </row>
    <row r="28" spans="1:10" ht="15">
      <c r="A28" s="6" t="str">
        <f>_xlfn.CUBEMEMBER("walle RP2012",{"[Individus].[Sexe].&amp;[1]","[Individus].[Age quinquennal].[Age quinquennal 80].&amp;[12]"})</f>
        <v>60-64 ans</v>
      </c>
      <c r="B28" s="20">
        <f t="shared" si="2"/>
        <v>4686</v>
      </c>
      <c r="C28" s="20">
        <f t="shared" si="2"/>
        <v>1836</v>
      </c>
      <c r="D28" s="20">
        <f t="shared" si="2"/>
        <v>804</v>
      </c>
      <c r="E28" s="20">
        <f t="shared" si="2"/>
        <v>394</v>
      </c>
      <c r="F28" s="20">
        <f t="shared" si="2"/>
        <v>591</v>
      </c>
      <c r="G28" s="20">
        <f t="shared" si="2"/>
        <v>234</v>
      </c>
      <c r="H28" s="20">
        <f t="shared" si="2"/>
        <v>124</v>
      </c>
      <c r="I28" s="20">
        <f t="shared" si="2"/>
        <v>279</v>
      </c>
      <c r="J28" s="21">
        <f t="shared" si="2"/>
        <v>424</v>
      </c>
    </row>
    <row r="29" spans="1:10" ht="15">
      <c r="A29" s="6" t="str">
        <f>_xlfn.CUBEMEMBER("walle RP2012",{"[Individus].[Sexe].&amp;[1]","[Individus].[Age quinquennal].[Age quinquennal 80].&amp;[13]"})</f>
        <v>65-69 ans</v>
      </c>
      <c r="B29" s="20">
        <f t="shared" si="2"/>
        <v>3522</v>
      </c>
      <c r="C29" s="20">
        <f t="shared" si="2"/>
        <v>1579</v>
      </c>
      <c r="D29" s="20">
        <f t="shared" si="2"/>
        <v>545</v>
      </c>
      <c r="E29" s="20">
        <f t="shared" si="2"/>
        <v>308</v>
      </c>
      <c r="F29" s="20">
        <f t="shared" si="2"/>
        <v>354</v>
      </c>
      <c r="G29" s="20">
        <f t="shared" si="2"/>
        <v>173</v>
      </c>
      <c r="H29" s="20">
        <f t="shared" si="2"/>
        <v>69</v>
      </c>
      <c r="I29" s="20">
        <f t="shared" si="2"/>
        <v>183</v>
      </c>
      <c r="J29" s="21">
        <f t="shared" si="2"/>
        <v>311</v>
      </c>
    </row>
    <row r="30" spans="1:10" ht="15">
      <c r="A30" s="6" t="str">
        <f>_xlfn.CUBEMEMBER("walle RP2012",{"[Individus].[Sexe].&amp;[1]","[Individus].[Age quinquennal].[Age quinquennal 80].&amp;[14]"})</f>
        <v>70-74 ans</v>
      </c>
      <c r="B30" s="20">
        <f t="shared" si="2"/>
        <v>2521</v>
      </c>
      <c r="C30" s="20">
        <f t="shared" si="2"/>
        <v>1371</v>
      </c>
      <c r="D30" s="20">
        <f t="shared" si="2"/>
        <v>419</v>
      </c>
      <c r="E30" s="20">
        <f t="shared" si="2"/>
        <v>205</v>
      </c>
      <c r="F30" s="20">
        <f t="shared" si="2"/>
        <v>146</v>
      </c>
      <c r="G30" s="20">
        <f t="shared" si="2"/>
        <v>75</v>
      </c>
      <c r="H30" s="20">
        <f t="shared" si="2"/>
        <v>45</v>
      </c>
      <c r="I30" s="20">
        <f t="shared" si="2"/>
        <v>92</v>
      </c>
      <c r="J30" s="21">
        <f t="shared" si="2"/>
        <v>168</v>
      </c>
    </row>
    <row r="31" spans="1:10" ht="15">
      <c r="A31" s="6" t="str">
        <f>_xlfn.CUBEMEMBER("walle RP2012",{"[Individus].[Sexe].&amp;[1]","[Individus].[Age quinquennal].[Age quinquennal 80].&amp;[15]"})</f>
        <v>75-79 ans</v>
      </c>
      <c r="B31" s="20">
        <f t="shared" si="2"/>
        <v>1573</v>
      </c>
      <c r="C31" s="20">
        <f t="shared" si="2"/>
        <v>935</v>
      </c>
      <c r="D31" s="20">
        <f t="shared" si="2"/>
        <v>214</v>
      </c>
      <c r="E31" s="20">
        <f t="shared" si="2"/>
        <v>117</v>
      </c>
      <c r="F31" s="20">
        <f t="shared" si="2"/>
        <v>90</v>
      </c>
      <c r="G31" s="20">
        <f t="shared" si="2"/>
        <v>58</v>
      </c>
      <c r="H31" s="20">
        <f t="shared" si="2"/>
        <v>26</v>
      </c>
      <c r="I31" s="20">
        <f t="shared" si="2"/>
        <v>40</v>
      </c>
      <c r="J31" s="21">
        <f t="shared" si="2"/>
        <v>93</v>
      </c>
    </row>
    <row r="32" spans="1:10" ht="15">
      <c r="A32" s="6" t="str">
        <f>_xlfn.CUBEMEMBER("walle RP2012",{"[Individus].[Sexe].&amp;[1]","[Individus].[Age quinquennal].[Age quinquennal 80].&amp;[16]"})</f>
        <v>80 ans et plus</v>
      </c>
      <c r="B32" s="20">
        <f t="shared" si="2"/>
        <v>1178</v>
      </c>
      <c r="C32" s="20">
        <f t="shared" si="2"/>
        <v>728</v>
      </c>
      <c r="D32" s="20">
        <f t="shared" si="2"/>
        <v>170</v>
      </c>
      <c r="E32" s="20">
        <f t="shared" si="2"/>
        <v>80</v>
      </c>
      <c r="F32" s="20">
        <f t="shared" si="2"/>
        <v>36</v>
      </c>
      <c r="G32" s="20">
        <f t="shared" si="2"/>
        <v>43</v>
      </c>
      <c r="H32" s="20">
        <f t="shared" si="2"/>
        <v>19</v>
      </c>
      <c r="I32" s="20">
        <f t="shared" si="2"/>
        <v>35</v>
      </c>
      <c r="J32" s="21">
        <f t="shared" si="2"/>
        <v>67</v>
      </c>
    </row>
    <row r="33" spans="1:10" ht="15">
      <c r="A33" s="17" t="str">
        <f>_xlfn.CUBEMEMBER("walle RP2012","[Individus].[Sexe].&amp;[2]")</f>
        <v>Femmes</v>
      </c>
      <c r="B33" s="18">
        <f aca="true" t="shared" si="3" ref="B33:J47">_xlfn.CUBEVALUE("walle RP2012",$A$2,$A33,B$2)</f>
        <v>99440</v>
      </c>
      <c r="C33" s="18">
        <f t="shared" si="3"/>
        <v>27078</v>
      </c>
      <c r="D33" s="18">
        <f t="shared" si="3"/>
        <v>11213</v>
      </c>
      <c r="E33" s="18">
        <f t="shared" si="3"/>
        <v>15705</v>
      </c>
      <c r="F33" s="18">
        <f t="shared" si="3"/>
        <v>15838</v>
      </c>
      <c r="G33" s="18">
        <f t="shared" si="3"/>
        <v>8770</v>
      </c>
      <c r="H33" s="18">
        <f t="shared" si="3"/>
        <v>8088</v>
      </c>
      <c r="I33" s="18">
        <f t="shared" si="3"/>
        <v>8049</v>
      </c>
      <c r="J33" s="19">
        <f t="shared" si="3"/>
        <v>4699</v>
      </c>
    </row>
    <row r="34" spans="1:10" ht="15">
      <c r="A34" s="6" t="str">
        <f>_xlfn.CUBEMEMBER("walle RP2012",{"[Individus].[Sexe].&amp;[2]","[Individus].[Age quinquennal].[Age quinquennal 80].&amp;[3]"})</f>
        <v>15-19 ans</v>
      </c>
      <c r="B34" s="20">
        <f t="shared" si="3"/>
        <v>11188</v>
      </c>
      <c r="C34" s="20">
        <f t="shared" si="3"/>
        <v>2174</v>
      </c>
      <c r="D34" s="20">
        <f t="shared" si="3"/>
        <v>472</v>
      </c>
      <c r="E34" s="20">
        <f t="shared" si="3"/>
        <v>5581</v>
      </c>
      <c r="F34" s="20">
        <f t="shared" si="3"/>
        <v>1184</v>
      </c>
      <c r="G34" s="20">
        <f t="shared" si="3"/>
        <v>940</v>
      </c>
      <c r="H34" s="20">
        <f t="shared" si="3"/>
        <v>748</v>
      </c>
      <c r="I34" s="20">
        <f t="shared" si="3"/>
        <v>85</v>
      </c>
      <c r="J34" s="21">
        <f t="shared" si="3"/>
        <v>4</v>
      </c>
    </row>
    <row r="35" spans="1:10" ht="15">
      <c r="A35" s="6" t="str">
        <f>_xlfn.CUBEMEMBER("walle RP2012",{"[Individus].[Sexe].&amp;[2]","[Individus].[Age quinquennal].[Age quinquennal 80].&amp;[4]"})</f>
        <v>20-24 ans</v>
      </c>
      <c r="B35" s="20">
        <f t="shared" si="3"/>
        <v>11306</v>
      </c>
      <c r="C35" s="20">
        <f t="shared" si="3"/>
        <v>1985</v>
      </c>
      <c r="D35" s="20">
        <f t="shared" si="3"/>
        <v>337</v>
      </c>
      <c r="E35" s="20">
        <f t="shared" si="3"/>
        <v>1879</v>
      </c>
      <c r="F35" s="20">
        <f t="shared" si="3"/>
        <v>1996</v>
      </c>
      <c r="G35" s="20">
        <f t="shared" si="3"/>
        <v>1627</v>
      </c>
      <c r="H35" s="20">
        <f t="shared" si="3"/>
        <v>2110</v>
      </c>
      <c r="I35" s="20">
        <f t="shared" si="3"/>
        <v>1155</v>
      </c>
      <c r="J35" s="21">
        <f t="shared" si="3"/>
        <v>217</v>
      </c>
    </row>
    <row r="36" spans="1:10" ht="15">
      <c r="A36" s="6" t="str">
        <f>_xlfn.CUBEMEMBER("walle RP2012",{"[Individus].[Sexe].&amp;[2]","[Individus].[Age quinquennal].[Age quinquennal 80].&amp;[5]"})</f>
        <v>25-29 ans</v>
      </c>
      <c r="B36" s="20">
        <f t="shared" si="3"/>
        <v>11187</v>
      </c>
      <c r="C36" s="20">
        <f t="shared" si="3"/>
        <v>2066</v>
      </c>
      <c r="D36" s="20">
        <f t="shared" si="3"/>
        <v>402</v>
      </c>
      <c r="E36" s="20">
        <f t="shared" si="3"/>
        <v>1475</v>
      </c>
      <c r="F36" s="20">
        <f t="shared" si="3"/>
        <v>2130</v>
      </c>
      <c r="G36" s="20">
        <f t="shared" si="3"/>
        <v>1260</v>
      </c>
      <c r="H36" s="20">
        <f t="shared" si="3"/>
        <v>1781</v>
      </c>
      <c r="I36" s="20">
        <f t="shared" si="3"/>
        <v>1424</v>
      </c>
      <c r="J36" s="21">
        <f t="shared" si="3"/>
        <v>649</v>
      </c>
    </row>
    <row r="37" spans="1:10" ht="15">
      <c r="A37" s="6" t="str">
        <f>_xlfn.CUBEMEMBER("walle RP2012",{"[Individus].[Sexe].&amp;[2]","[Individus].[Age quinquennal].[Age quinquennal 80].&amp;[6]"})</f>
        <v>30-34 ans</v>
      </c>
      <c r="B37" s="20">
        <f t="shared" si="3"/>
        <v>10005</v>
      </c>
      <c r="C37" s="20">
        <f t="shared" si="3"/>
        <v>2023</v>
      </c>
      <c r="D37" s="20">
        <f t="shared" si="3"/>
        <v>543</v>
      </c>
      <c r="E37" s="20">
        <f t="shared" si="3"/>
        <v>1177</v>
      </c>
      <c r="F37" s="20">
        <f t="shared" si="3"/>
        <v>1949</v>
      </c>
      <c r="G37" s="20">
        <f t="shared" si="3"/>
        <v>1092</v>
      </c>
      <c r="H37" s="20">
        <f t="shared" si="3"/>
        <v>1213</v>
      </c>
      <c r="I37" s="20">
        <f t="shared" si="3"/>
        <v>1249</v>
      </c>
      <c r="J37" s="21">
        <f t="shared" si="3"/>
        <v>759</v>
      </c>
    </row>
    <row r="38" spans="1:10" ht="15">
      <c r="A38" s="6" t="str">
        <f>_xlfn.CUBEMEMBER("walle RP2012",{"[Individus].[Sexe].&amp;[2]","[Individus].[Age quinquennal].[Age quinquennal 80].&amp;[7]"})</f>
        <v>35-39 ans</v>
      </c>
      <c r="B38" s="20">
        <f t="shared" si="3"/>
        <v>9707</v>
      </c>
      <c r="C38" s="20">
        <f t="shared" si="3"/>
        <v>2317</v>
      </c>
      <c r="D38" s="20">
        <f t="shared" si="3"/>
        <v>955</v>
      </c>
      <c r="E38" s="20">
        <f t="shared" si="3"/>
        <v>1000</v>
      </c>
      <c r="F38" s="20">
        <f t="shared" si="3"/>
        <v>1722</v>
      </c>
      <c r="G38" s="20">
        <f t="shared" si="3"/>
        <v>1007</v>
      </c>
      <c r="H38" s="20">
        <f t="shared" si="3"/>
        <v>834</v>
      </c>
      <c r="I38" s="20">
        <f t="shared" si="3"/>
        <v>1134</v>
      </c>
      <c r="J38" s="21">
        <f t="shared" si="3"/>
        <v>738</v>
      </c>
    </row>
    <row r="39" spans="1:10" ht="15">
      <c r="A39" s="6" t="str">
        <f>_xlfn.CUBEMEMBER("walle RP2012",{"[Individus].[Sexe].&amp;[2]","[Individus].[Age quinquennal].[Age quinquennal 80].&amp;[8]"})</f>
        <v>40-44 ans</v>
      </c>
      <c r="B39" s="20">
        <f t="shared" si="3"/>
        <v>9920</v>
      </c>
      <c r="C39" s="20">
        <f t="shared" si="3"/>
        <v>2543</v>
      </c>
      <c r="D39" s="20">
        <f t="shared" si="3"/>
        <v>1432</v>
      </c>
      <c r="E39" s="20">
        <f t="shared" si="3"/>
        <v>992</v>
      </c>
      <c r="F39" s="20">
        <f t="shared" si="3"/>
        <v>1895</v>
      </c>
      <c r="G39" s="20">
        <f t="shared" si="3"/>
        <v>811</v>
      </c>
      <c r="H39" s="20">
        <f t="shared" si="3"/>
        <v>580</v>
      </c>
      <c r="I39" s="20">
        <f t="shared" si="3"/>
        <v>950</v>
      </c>
      <c r="J39" s="21">
        <f t="shared" si="3"/>
        <v>717</v>
      </c>
    </row>
    <row r="40" spans="1:10" ht="15">
      <c r="A40" s="6" t="str">
        <f>_xlfn.CUBEMEMBER("walle RP2012",{"[Individus].[Sexe].&amp;[2]","[Individus].[Age quinquennal].[Age quinquennal 80].&amp;[9]"})</f>
        <v>45-49 ans</v>
      </c>
      <c r="B40" s="20">
        <f t="shared" si="3"/>
        <v>9123</v>
      </c>
      <c r="C40" s="20">
        <f t="shared" si="3"/>
        <v>2429</v>
      </c>
      <c r="D40" s="20">
        <f t="shared" si="3"/>
        <v>1607</v>
      </c>
      <c r="E40" s="20">
        <f t="shared" si="3"/>
        <v>1008</v>
      </c>
      <c r="F40" s="20">
        <f t="shared" si="3"/>
        <v>1804</v>
      </c>
      <c r="G40" s="20">
        <f t="shared" si="3"/>
        <v>667</v>
      </c>
      <c r="H40" s="20">
        <f t="shared" si="3"/>
        <v>377</v>
      </c>
      <c r="I40" s="20">
        <f t="shared" si="3"/>
        <v>738</v>
      </c>
      <c r="J40" s="21">
        <f t="shared" si="3"/>
        <v>493</v>
      </c>
    </row>
    <row r="41" spans="1:10" ht="15">
      <c r="A41" s="6" t="str">
        <f>_xlfn.CUBEMEMBER("walle RP2012",{"[Individus].[Sexe].&amp;[2]","[Individus].[Age quinquennal].[Age quinquennal 80].&amp;[10]"})</f>
        <v>50-54 ans</v>
      </c>
      <c r="B41" s="20">
        <f t="shared" si="3"/>
        <v>7273</v>
      </c>
      <c r="C41" s="20">
        <f t="shared" si="3"/>
        <v>2137</v>
      </c>
      <c r="D41" s="20">
        <f t="shared" si="3"/>
        <v>1438</v>
      </c>
      <c r="E41" s="20">
        <f t="shared" si="3"/>
        <v>769</v>
      </c>
      <c r="F41" s="20">
        <f t="shared" si="3"/>
        <v>1313</v>
      </c>
      <c r="G41" s="20">
        <f t="shared" si="3"/>
        <v>514</v>
      </c>
      <c r="H41" s="20">
        <f t="shared" si="3"/>
        <v>189</v>
      </c>
      <c r="I41" s="20">
        <f t="shared" si="3"/>
        <v>506</v>
      </c>
      <c r="J41" s="21">
        <f t="shared" si="3"/>
        <v>407</v>
      </c>
    </row>
    <row r="42" spans="1:10" ht="15">
      <c r="A42" s="6" t="str">
        <f>_xlfn.CUBEMEMBER("walle RP2012",{"[Individus].[Sexe].&amp;[2]","[Individus].[Age quinquennal].[Age quinquennal 80].&amp;[11]"})</f>
        <v>55-59 ans</v>
      </c>
      <c r="B42" s="20">
        <f t="shared" si="3"/>
        <v>6076</v>
      </c>
      <c r="C42" s="20">
        <f t="shared" si="3"/>
        <v>1996</v>
      </c>
      <c r="D42" s="20">
        <f t="shared" si="3"/>
        <v>1317</v>
      </c>
      <c r="E42" s="20">
        <f t="shared" si="3"/>
        <v>689</v>
      </c>
      <c r="F42" s="20">
        <f t="shared" si="3"/>
        <v>926</v>
      </c>
      <c r="G42" s="20">
        <f t="shared" si="3"/>
        <v>368</v>
      </c>
      <c r="H42" s="20">
        <f t="shared" si="3"/>
        <v>133</v>
      </c>
      <c r="I42" s="20">
        <f t="shared" si="3"/>
        <v>367</v>
      </c>
      <c r="J42" s="21">
        <f t="shared" si="3"/>
        <v>280</v>
      </c>
    </row>
    <row r="43" spans="1:10" ht="15">
      <c r="A43" s="6" t="str">
        <f>_xlfn.CUBEMEMBER("walle RP2012",{"[Individus].[Sexe].&amp;[2]","[Individus].[Age quinquennal].[Age quinquennal 80].&amp;[12]"})</f>
        <v>60-64 ans</v>
      </c>
      <c r="B43" s="20">
        <f t="shared" si="3"/>
        <v>4399</v>
      </c>
      <c r="C43" s="20">
        <f t="shared" si="3"/>
        <v>1770</v>
      </c>
      <c r="D43" s="20">
        <f t="shared" si="3"/>
        <v>965</v>
      </c>
      <c r="E43" s="20">
        <f t="shared" si="3"/>
        <v>464</v>
      </c>
      <c r="F43" s="20">
        <f t="shared" si="3"/>
        <v>497</v>
      </c>
      <c r="G43" s="20">
        <f t="shared" si="3"/>
        <v>209</v>
      </c>
      <c r="H43" s="20">
        <f t="shared" si="3"/>
        <v>53</v>
      </c>
      <c r="I43" s="20">
        <f t="shared" si="3"/>
        <v>220</v>
      </c>
      <c r="J43" s="21">
        <f t="shared" si="3"/>
        <v>221</v>
      </c>
    </row>
    <row r="44" spans="1:10" ht="15">
      <c r="A44" s="6" t="str">
        <f>_xlfn.CUBEMEMBER("walle RP2012",{"[Individus].[Sexe].&amp;[2]","[Individus].[Age quinquennal].[Age quinquennal 80].&amp;[13]"})</f>
        <v>65-69 ans</v>
      </c>
      <c r="B44" s="20">
        <f t="shared" si="3"/>
        <v>3340</v>
      </c>
      <c r="C44" s="20">
        <f t="shared" si="3"/>
        <v>1678</v>
      </c>
      <c r="D44" s="20">
        <f t="shared" si="3"/>
        <v>711</v>
      </c>
      <c r="E44" s="20">
        <f t="shared" si="3"/>
        <v>304</v>
      </c>
      <c r="F44" s="20">
        <f t="shared" si="3"/>
        <v>221</v>
      </c>
      <c r="G44" s="20">
        <f t="shared" si="3"/>
        <v>140</v>
      </c>
      <c r="H44" s="20">
        <f t="shared" si="3"/>
        <v>38</v>
      </c>
      <c r="I44" s="20">
        <f t="shared" si="3"/>
        <v>123</v>
      </c>
      <c r="J44" s="21">
        <f t="shared" si="3"/>
        <v>125</v>
      </c>
    </row>
    <row r="45" spans="1:10" ht="15">
      <c r="A45" s="6" t="str">
        <f>_xlfn.CUBEMEMBER("walle RP2012",{"[Individus].[Sexe].&amp;[2]","[Individus].[Age quinquennal].[Age quinquennal 80].&amp;[14]"})</f>
        <v>70-74 ans</v>
      </c>
      <c r="B45" s="20">
        <f t="shared" si="3"/>
        <v>2494</v>
      </c>
      <c r="C45" s="20">
        <f t="shared" si="3"/>
        <v>1507</v>
      </c>
      <c r="D45" s="20">
        <f t="shared" si="3"/>
        <v>516</v>
      </c>
      <c r="E45" s="20">
        <f t="shared" si="3"/>
        <v>173</v>
      </c>
      <c r="F45" s="20">
        <f t="shared" si="3"/>
        <v>102</v>
      </c>
      <c r="G45" s="20">
        <f t="shared" si="3"/>
        <v>75</v>
      </c>
      <c r="H45" s="20">
        <f t="shared" si="3"/>
        <v>16</v>
      </c>
      <c r="I45" s="20">
        <f t="shared" si="3"/>
        <v>58</v>
      </c>
      <c r="J45" s="21">
        <f t="shared" si="3"/>
        <v>47</v>
      </c>
    </row>
    <row r="46" spans="1:10" ht="15">
      <c r="A46" s="6" t="str">
        <f>_xlfn.CUBEMEMBER("walle RP2012",{"[Individus].[Sexe].&amp;[2]","[Individus].[Age quinquennal].[Age quinquennal 80].&amp;[15]"})</f>
        <v>75-79 ans</v>
      </c>
      <c r="B46" s="20">
        <f t="shared" si="3"/>
        <v>1767</v>
      </c>
      <c r="C46" s="20">
        <f t="shared" si="3"/>
        <v>1234</v>
      </c>
      <c r="D46" s="20">
        <f t="shared" si="3"/>
        <v>278</v>
      </c>
      <c r="E46" s="20">
        <f t="shared" si="3"/>
        <v>112</v>
      </c>
      <c r="F46" s="20">
        <f t="shared" si="3"/>
        <v>52</v>
      </c>
      <c r="G46" s="20">
        <f t="shared" si="3"/>
        <v>32</v>
      </c>
      <c r="H46" s="20">
        <f t="shared" si="3"/>
        <v>9</v>
      </c>
      <c r="I46" s="20">
        <f t="shared" si="3"/>
        <v>24</v>
      </c>
      <c r="J46" s="21">
        <f t="shared" si="3"/>
        <v>26</v>
      </c>
    </row>
    <row r="47" spans="1:10" ht="15">
      <c r="A47" s="12" t="str">
        <f>_xlfn.CUBEMEMBER("walle RP2012",{"[Individus].[Sexe].&amp;[2]","[Individus].[Age quinquennal].[Age quinquennal 80].&amp;[16]"})</f>
        <v>80 ans et plus</v>
      </c>
      <c r="B47" s="22">
        <f t="shared" si="3"/>
        <v>1655</v>
      </c>
      <c r="C47" s="22">
        <f t="shared" si="3"/>
        <v>1219</v>
      </c>
      <c r="D47" s="22">
        <f t="shared" si="3"/>
        <v>240</v>
      </c>
      <c r="E47" s="22">
        <f t="shared" si="3"/>
        <v>82</v>
      </c>
      <c r="F47" s="22">
        <f t="shared" si="3"/>
        <v>47</v>
      </c>
      <c r="G47" s="22">
        <f t="shared" si="3"/>
        <v>28</v>
      </c>
      <c r="H47" s="22">
        <f t="shared" si="3"/>
        <v>7</v>
      </c>
      <c r="I47" s="22">
        <f t="shared" si="3"/>
        <v>16</v>
      </c>
      <c r="J47" s="23">
        <f t="shared" si="3"/>
        <v>16</v>
      </c>
    </row>
    <row r="48" spans="1:10" ht="15">
      <c r="A48" s="24"/>
      <c r="B48" s="25"/>
      <c r="C48" s="25"/>
      <c r="D48" s="25"/>
      <c r="E48" s="25"/>
      <c r="F48" s="25"/>
      <c r="G48" s="14"/>
      <c r="H48" s="14"/>
      <c r="I48" s="14"/>
      <c r="J48" s="10" t="s">
        <v>2</v>
      </c>
    </row>
    <row r="49" spans="1:10" ht="15">
      <c r="A49" s="24"/>
      <c r="B49" s="25"/>
      <c r="C49" s="25"/>
      <c r="D49" s="25"/>
      <c r="E49" s="25"/>
      <c r="F49" s="25"/>
      <c r="G49" s="14"/>
      <c r="H49" s="14"/>
      <c r="I49" s="14"/>
      <c r="J49" s="1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zoomScalePageLayoutView="0" workbookViewId="0" topLeftCell="A1">
      <selection activeCell="H5" sqref="H5"/>
    </sheetView>
  </sheetViews>
  <sheetFormatPr defaultColWidth="11.421875" defaultRowHeight="15"/>
  <cols>
    <col min="1" max="1" width="14.28125" style="0" customWidth="1"/>
    <col min="2" max="2" width="9.00390625" style="0" customWidth="1"/>
    <col min="3" max="3" width="8.7109375" style="0" customWidth="1"/>
    <col min="4" max="4" width="6.421875" style="0" customWidth="1"/>
    <col min="5" max="5" width="6.28125" style="0" customWidth="1"/>
    <col min="6" max="6" width="7.421875" style="0" customWidth="1"/>
    <col min="7" max="7" width="8.140625" style="0" customWidth="1"/>
    <col min="8" max="8" width="8.421875" style="0" customWidth="1"/>
    <col min="9" max="9" width="9.7109375" style="0" customWidth="1"/>
    <col min="10" max="10" width="9.421875" style="0" customWidth="1"/>
    <col min="11" max="11" width="12.57421875" style="0" bestFit="1" customWidth="1"/>
  </cols>
  <sheetData>
    <row r="1" spans="1:10" ht="32.25" customHeight="1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3.75">
      <c r="A2" s="2" t="str">
        <f>_xlfn.CUBEMEMBER("walle RP2012","[Measures].[Individus de 15 ans et plus]","Subdivision et âge")</f>
        <v>Subdivision et âge</v>
      </c>
      <c r="B2" s="15" t="str">
        <f>_xlfn.CUBEMEMBER("walle RP2012","[Individus].[Dernier Diplôme Obtenu].[All]","Ensemble")</f>
        <v>Ensemble</v>
      </c>
      <c r="C2" s="15" t="str">
        <f>_xlfn.CUBEMEMBER("walle RP2012","[Individus].[Dernier Diplôme Obtenu].&amp;[0]")</f>
        <v>Aucun diplôme</v>
      </c>
      <c r="D2" s="15" t="str">
        <f>_xlfn.CUBEMEMBER("walle RP2012","[Individus].[Dernier Diplôme Obtenu].&amp;[1]")</f>
        <v>CEP</v>
      </c>
      <c r="E2" s="15" t="str">
        <f>_xlfn.CUBEMEMBER("walle RP2012","[Individus].[Dernier Diplôme Obtenu].&amp;[2]")</f>
        <v>BEPC</v>
      </c>
      <c r="F2" s="15" t="str">
        <f>_xlfn.CUBESET("walle RP2012","{[Individus].[Dernier Diplôme Obtenu].&amp;[3],[Individus].[Dernier Diplôme Obtenu].&amp;[4]}","CAP-BEP")</f>
        <v>CAP-BEP</v>
      </c>
      <c r="G2" s="15" t="str">
        <f>_xlfn.CUBEMEMBER("walle RP2012","[Individus].[Dernier Diplôme Obtenu].&amp;[5]")</f>
        <v>Bac général</v>
      </c>
      <c r="H2" s="15" t="str">
        <f>_xlfn.CUBEMEMBER("walle RP2012","[Individus].[Dernier Diplôme Obtenu].&amp;[6]","bac pro. ou techno.")</f>
        <v>bac pro. ou techno.</v>
      </c>
      <c r="I2" s="15" t="str">
        <f>_xlfn.CUBEMEMBER("walle RP2012","[Individus].[Dernier Diplôme Obtenu].&amp;[7]")</f>
        <v>1er cycle Universitaire</v>
      </c>
      <c r="J2" s="16" t="str">
        <f>_xlfn.CUBEMEMBER("walle RP2012","[Individus].[Dernier Diplôme Obtenu].&amp;[8]","2e ou 3e cycle universitaire")</f>
        <v>2e ou 3e cycle universitaire</v>
      </c>
    </row>
    <row r="3" spans="1:10" ht="15">
      <c r="A3" s="17" t="str">
        <f>_xlfn.CUBEMEMBER("walle RP2012","[Individus].[Age quinquennal].[All]","Ensemble")</f>
        <v>Ensemble</v>
      </c>
      <c r="B3" s="18">
        <f aca="true" t="shared" si="0" ref="B3:J11">_xlfn.CUBEVALUE("walle RP2012",$A$2,$A3,B$2)</f>
        <v>202825</v>
      </c>
      <c r="C3" s="18">
        <f t="shared" si="0"/>
        <v>62927</v>
      </c>
      <c r="D3" s="18">
        <f t="shared" si="0"/>
        <v>21915</v>
      </c>
      <c r="E3" s="18">
        <f t="shared" si="0"/>
        <v>29117</v>
      </c>
      <c r="F3" s="18">
        <f t="shared" si="0"/>
        <v>34262</v>
      </c>
      <c r="G3" s="18">
        <f t="shared" si="0"/>
        <v>14970</v>
      </c>
      <c r="H3" s="18">
        <f t="shared" si="0"/>
        <v>14991</v>
      </c>
      <c r="I3" s="18">
        <f t="shared" si="0"/>
        <v>14519</v>
      </c>
      <c r="J3" s="19">
        <f t="shared" si="0"/>
        <v>10124</v>
      </c>
    </row>
    <row r="4" spans="1:10" ht="15">
      <c r="A4" s="6" t="str">
        <f>_xlfn.CUBEMEMBER("walle RP2012","[Individus].[Age décennal].[Age décennal 80].&amp;[1]")</f>
        <v>10-19 ans</v>
      </c>
      <c r="B4" s="20">
        <f t="shared" si="0"/>
        <v>23048</v>
      </c>
      <c r="C4" s="20">
        <f t="shared" si="0"/>
        <v>5904</v>
      </c>
      <c r="D4" s="20">
        <f t="shared" si="0"/>
        <v>1150</v>
      </c>
      <c r="E4" s="20">
        <f t="shared" si="0"/>
        <v>10446</v>
      </c>
      <c r="F4" s="20">
        <f t="shared" si="0"/>
        <v>2589</v>
      </c>
      <c r="G4" s="20">
        <f t="shared" si="0"/>
        <v>1498</v>
      </c>
      <c r="H4" s="20">
        <f t="shared" si="0"/>
        <v>1314</v>
      </c>
      <c r="I4" s="20">
        <f t="shared" si="0"/>
        <v>142</v>
      </c>
      <c r="J4" s="21">
        <f t="shared" si="0"/>
        <v>5</v>
      </c>
    </row>
    <row r="5" spans="1:10" ht="15">
      <c r="A5" s="6" t="str">
        <f>_xlfn.CUBEMEMBER("walle RP2012","[Individus].[Age décennal].[Age décennal 80].&amp;[2]")</f>
        <v>20-29 ans</v>
      </c>
      <c r="B5" s="20">
        <f t="shared" si="0"/>
        <v>45164</v>
      </c>
      <c r="C5" s="20">
        <f t="shared" si="0"/>
        <v>10665</v>
      </c>
      <c r="D5" s="20">
        <f t="shared" si="0"/>
        <v>1721</v>
      </c>
      <c r="E5" s="20">
        <f t="shared" si="0"/>
        <v>6325</v>
      </c>
      <c r="F5" s="20">
        <f t="shared" si="0"/>
        <v>9043</v>
      </c>
      <c r="G5" s="20">
        <f t="shared" si="0"/>
        <v>4855</v>
      </c>
      <c r="H5" s="20">
        <f t="shared" si="0"/>
        <v>7001</v>
      </c>
      <c r="I5" s="20">
        <f t="shared" si="0"/>
        <v>4164</v>
      </c>
      <c r="J5" s="21">
        <f t="shared" si="0"/>
        <v>1390</v>
      </c>
    </row>
    <row r="6" spans="1:10" ht="15">
      <c r="A6" s="6" t="str">
        <f>_xlfn.CUBEMEMBER("walle RP2012","[Individus].[Age décennal].[Age décennal 80].&amp;[3]")</f>
        <v>30-39 ans</v>
      </c>
      <c r="B6" s="20">
        <f t="shared" si="0"/>
        <v>40010</v>
      </c>
      <c r="C6" s="20">
        <f t="shared" si="0"/>
        <v>10751</v>
      </c>
      <c r="D6" s="20">
        <f t="shared" si="0"/>
        <v>3052</v>
      </c>
      <c r="E6" s="20">
        <f t="shared" si="0"/>
        <v>4013</v>
      </c>
      <c r="F6" s="20">
        <f t="shared" si="0"/>
        <v>8113</v>
      </c>
      <c r="G6" s="20">
        <f t="shared" si="0"/>
        <v>3461</v>
      </c>
      <c r="H6" s="20">
        <f t="shared" si="0"/>
        <v>3687</v>
      </c>
      <c r="I6" s="20">
        <f t="shared" si="0"/>
        <v>4167</v>
      </c>
      <c r="J6" s="21">
        <f t="shared" si="0"/>
        <v>2766</v>
      </c>
    </row>
    <row r="7" spans="1:10" ht="15">
      <c r="A7" s="6" t="str">
        <f>_xlfn.CUBEMEMBER("walle RP2012","[Individus].[Age décennal].[Age décennal 80].&amp;[4]")</f>
        <v>40-49 ans</v>
      </c>
      <c r="B7" s="20">
        <f t="shared" si="0"/>
        <v>39487</v>
      </c>
      <c r="C7" s="20">
        <f t="shared" si="0"/>
        <v>12182</v>
      </c>
      <c r="D7" s="20">
        <f t="shared" si="0"/>
        <v>5944</v>
      </c>
      <c r="E7" s="20">
        <f t="shared" si="0"/>
        <v>3462</v>
      </c>
      <c r="F7" s="20">
        <f t="shared" si="0"/>
        <v>7711</v>
      </c>
      <c r="G7" s="20">
        <f t="shared" si="0"/>
        <v>2495</v>
      </c>
      <c r="H7" s="20">
        <f t="shared" si="0"/>
        <v>1823</v>
      </c>
      <c r="I7" s="20">
        <f t="shared" si="0"/>
        <v>3214</v>
      </c>
      <c r="J7" s="21">
        <f t="shared" si="0"/>
        <v>2656</v>
      </c>
    </row>
    <row r="8" spans="1:10" ht="15">
      <c r="A8" s="6" t="str">
        <f>_xlfn.CUBEMEMBER("walle RP2012","[Individus].[Age décennal].[Age décennal 80].&amp;[5]")</f>
        <v>50-59 ans</v>
      </c>
      <c r="B8" s="20">
        <f t="shared" si="0"/>
        <v>27981</v>
      </c>
      <c r="C8" s="20">
        <f t="shared" si="0"/>
        <v>9568</v>
      </c>
      <c r="D8" s="20">
        <f t="shared" si="0"/>
        <v>5186</v>
      </c>
      <c r="E8" s="20">
        <f t="shared" si="0"/>
        <v>2632</v>
      </c>
      <c r="F8" s="20">
        <f t="shared" si="0"/>
        <v>4670</v>
      </c>
      <c r="G8" s="20">
        <f t="shared" si="0"/>
        <v>1594</v>
      </c>
      <c r="H8" s="20">
        <f t="shared" si="0"/>
        <v>760</v>
      </c>
      <c r="I8" s="20">
        <f t="shared" si="0"/>
        <v>1762</v>
      </c>
      <c r="J8" s="21">
        <f t="shared" si="0"/>
        <v>1809</v>
      </c>
    </row>
    <row r="9" spans="1:10" ht="15">
      <c r="A9" s="6" t="str">
        <f>_xlfn.CUBEMEMBER("walle RP2012","[Individus].[Age décennal].[Age décennal 80].&amp;[6]")</f>
        <v>60-69 ans</v>
      </c>
      <c r="B9" s="20">
        <f t="shared" si="0"/>
        <v>15947</v>
      </c>
      <c r="C9" s="20">
        <f t="shared" si="0"/>
        <v>6863</v>
      </c>
      <c r="D9" s="20">
        <f t="shared" si="0"/>
        <v>3025</v>
      </c>
      <c r="E9" s="20">
        <f t="shared" si="0"/>
        <v>1470</v>
      </c>
      <c r="F9" s="20">
        <f t="shared" si="0"/>
        <v>1663</v>
      </c>
      <c r="G9" s="20">
        <f t="shared" si="0"/>
        <v>756</v>
      </c>
      <c r="H9" s="20">
        <f t="shared" si="0"/>
        <v>284</v>
      </c>
      <c r="I9" s="20">
        <f t="shared" si="0"/>
        <v>805</v>
      </c>
      <c r="J9" s="21">
        <f t="shared" si="0"/>
        <v>1081</v>
      </c>
    </row>
    <row r="10" spans="1:10" ht="15">
      <c r="A10" s="6" t="str">
        <f>_xlfn.CUBEMEMBER("walle RP2012","[Individus].[Age décennal].[Age décennal 80].&amp;[7]")</f>
        <v>70-79 ans</v>
      </c>
      <c r="B10" s="20">
        <f t="shared" si="0"/>
        <v>8355</v>
      </c>
      <c r="C10" s="20">
        <f t="shared" si="0"/>
        <v>5047</v>
      </c>
      <c r="D10" s="20">
        <f t="shared" si="0"/>
        <v>1427</v>
      </c>
      <c r="E10" s="20">
        <f t="shared" si="0"/>
        <v>607</v>
      </c>
      <c r="F10" s="20">
        <f t="shared" si="0"/>
        <v>390</v>
      </c>
      <c r="G10" s="20">
        <f t="shared" si="0"/>
        <v>240</v>
      </c>
      <c r="H10" s="20">
        <f t="shared" si="0"/>
        <v>96</v>
      </c>
      <c r="I10" s="20">
        <f t="shared" si="0"/>
        <v>214</v>
      </c>
      <c r="J10" s="21">
        <f t="shared" si="0"/>
        <v>334</v>
      </c>
    </row>
    <row r="11" spans="1:10" ht="15">
      <c r="A11" s="6" t="str">
        <f>_xlfn.CUBEMEMBER("walle RP2012","[Individus].[Age décennal].[Age décennal 80].&amp;[8]")</f>
        <v>80 ans et plus</v>
      </c>
      <c r="B11" s="20">
        <f t="shared" si="0"/>
        <v>2833</v>
      </c>
      <c r="C11" s="20">
        <f t="shared" si="0"/>
        <v>1947</v>
      </c>
      <c r="D11" s="20">
        <f t="shared" si="0"/>
        <v>410</v>
      </c>
      <c r="E11" s="20">
        <f t="shared" si="0"/>
        <v>162</v>
      </c>
      <c r="F11" s="20">
        <f t="shared" si="0"/>
        <v>83</v>
      </c>
      <c r="G11" s="20">
        <f t="shared" si="0"/>
        <v>71</v>
      </c>
      <c r="H11" s="20">
        <f t="shared" si="0"/>
        <v>26</v>
      </c>
      <c r="I11" s="20">
        <f t="shared" si="0"/>
        <v>51</v>
      </c>
      <c r="J11" s="21">
        <f t="shared" si="0"/>
        <v>83</v>
      </c>
    </row>
    <row r="12" spans="1:10" ht="15">
      <c r="A12" s="17" t="str">
        <f>_xlfn.CUBEMEMBER("walle RP2012","[Geographie].[Subdivision].&amp;[1]")</f>
        <v>Iles Du Vent</v>
      </c>
      <c r="B12" s="18">
        <f aca="true" t="shared" si="1" ref="B12:B56">_xlfn.CUBEVALUE("walle RP2012",$A$2,$A12,B$2)</f>
        <v>152789</v>
      </c>
      <c r="C12" s="18">
        <f aca="true" t="shared" si="2" ref="C12:J13">_xlfn.CUBEVALUE("walle RP2012",$A$2,$A12,C$2)</f>
        <v>41783</v>
      </c>
      <c r="D12" s="18">
        <f t="shared" si="2"/>
        <v>16059</v>
      </c>
      <c r="E12" s="18">
        <f t="shared" si="2"/>
        <v>22096</v>
      </c>
      <c r="F12" s="18">
        <f t="shared" si="2"/>
        <v>25980</v>
      </c>
      <c r="G12" s="18">
        <f t="shared" si="2"/>
        <v>12651</v>
      </c>
      <c r="H12" s="18">
        <f t="shared" si="2"/>
        <v>12456</v>
      </c>
      <c r="I12" s="18">
        <f t="shared" si="2"/>
        <v>12729</v>
      </c>
      <c r="J12" s="19">
        <f t="shared" si="2"/>
        <v>9035</v>
      </c>
    </row>
    <row r="13" spans="1:10" ht="15">
      <c r="A13" s="6" t="str">
        <f>_xlfn.CUBEMEMBER("walle RP2012",{"[Geographie].[Subdivision].&amp;[1]","[Individus].[Age d?cennal].[Age d?cennal 80].&amp;[1]"})</f>
        <v>10-19 ans</v>
      </c>
      <c r="B13" s="20">
        <f t="shared" si="1"/>
        <v>17247</v>
      </c>
      <c r="C13" s="20">
        <f t="shared" si="2"/>
        <v>3962</v>
      </c>
      <c r="D13" s="20">
        <f t="shared" si="2"/>
        <v>750</v>
      </c>
      <c r="E13" s="20">
        <f t="shared" si="2"/>
        <v>7964</v>
      </c>
      <c r="F13" s="20">
        <f t="shared" si="2"/>
        <v>1961</v>
      </c>
      <c r="G13" s="20">
        <f t="shared" si="2"/>
        <v>1362</v>
      </c>
      <c r="H13" s="20">
        <f t="shared" si="2"/>
        <v>1105</v>
      </c>
      <c r="I13" s="20">
        <f t="shared" si="2"/>
        <v>138</v>
      </c>
      <c r="J13" s="21">
        <f t="shared" si="2"/>
        <v>5</v>
      </c>
    </row>
    <row r="14" spans="1:10" ht="15">
      <c r="A14" s="6" t="str">
        <f>_xlfn.CUBEMEMBER("walle RP2012",{"[Geographie].[Subdivision].&amp;[1]","[Individus].[Age d?cennal].[Age d?cennal 80].&amp;[2]"})</f>
        <v>20-29 ans</v>
      </c>
      <c r="B14" s="20">
        <f t="shared" si="1"/>
        <v>33882</v>
      </c>
      <c r="C14" s="20">
        <f aca="true" t="shared" si="3" ref="C14:J21">_xlfn.CUBEVALUE("walle RP2012",$A$2,$A14,C$2)</f>
        <v>7034</v>
      </c>
      <c r="D14" s="20">
        <f t="shared" si="3"/>
        <v>1137</v>
      </c>
      <c r="E14" s="20">
        <f t="shared" si="3"/>
        <v>4511</v>
      </c>
      <c r="F14" s="20">
        <f t="shared" si="3"/>
        <v>6441</v>
      </c>
      <c r="G14" s="20">
        <f t="shared" si="3"/>
        <v>4068</v>
      </c>
      <c r="H14" s="20">
        <f t="shared" si="3"/>
        <v>5725</v>
      </c>
      <c r="I14" s="20">
        <f t="shared" si="3"/>
        <v>3686</v>
      </c>
      <c r="J14" s="21">
        <f t="shared" si="3"/>
        <v>1280</v>
      </c>
    </row>
    <row r="15" spans="1:10" ht="15">
      <c r="A15" s="6" t="str">
        <f>_xlfn.CUBEMEMBER("walle RP2012",{"[Geographie].[Subdivision].&amp;[1]","[Individus].[Age d?cennal].[Age d?cennal 80].&amp;[3]"})</f>
        <v>30-39 ans</v>
      </c>
      <c r="B15" s="20">
        <f t="shared" si="1"/>
        <v>30271</v>
      </c>
      <c r="C15" s="20">
        <f t="shared" si="3"/>
        <v>6963</v>
      </c>
      <c r="D15" s="20">
        <f t="shared" si="3"/>
        <v>2043</v>
      </c>
      <c r="E15" s="20">
        <f t="shared" si="3"/>
        <v>2996</v>
      </c>
      <c r="F15" s="20">
        <f t="shared" si="3"/>
        <v>6139</v>
      </c>
      <c r="G15" s="20">
        <f t="shared" si="3"/>
        <v>2906</v>
      </c>
      <c r="H15" s="20">
        <f t="shared" si="3"/>
        <v>3093</v>
      </c>
      <c r="I15" s="20">
        <f t="shared" si="3"/>
        <v>3659</v>
      </c>
      <c r="J15" s="21">
        <f t="shared" si="3"/>
        <v>2472</v>
      </c>
    </row>
    <row r="16" spans="1:10" ht="15">
      <c r="A16" s="6" t="str">
        <f>_xlfn.CUBEMEMBER("walle RP2012",{"[Geographie].[Subdivision].&amp;[1]","[Individus].[Age d?cennal].[Age d?cennal 80].&amp;[4]"})</f>
        <v>40-49 ans</v>
      </c>
      <c r="B16" s="20">
        <f t="shared" si="1"/>
        <v>29947</v>
      </c>
      <c r="C16" s="20">
        <f t="shared" si="3"/>
        <v>8113</v>
      </c>
      <c r="D16" s="20">
        <f t="shared" si="3"/>
        <v>4384</v>
      </c>
      <c r="E16" s="20">
        <f t="shared" si="3"/>
        <v>2662</v>
      </c>
      <c r="F16" s="20">
        <f t="shared" si="3"/>
        <v>5963</v>
      </c>
      <c r="G16" s="20">
        <f t="shared" si="3"/>
        <v>2098</v>
      </c>
      <c r="H16" s="20">
        <f t="shared" si="3"/>
        <v>1557</v>
      </c>
      <c r="I16" s="20">
        <f t="shared" si="3"/>
        <v>2800</v>
      </c>
      <c r="J16" s="21">
        <f t="shared" si="3"/>
        <v>2370</v>
      </c>
    </row>
    <row r="17" spans="1:10" ht="15">
      <c r="A17" s="6" t="str">
        <f>_xlfn.CUBEMEMBER("walle RP2012",{"[Geographie].[Subdivision].&amp;[1]","[Individus].[Age d?cennal].[Age d?cennal 80].&amp;[5]"})</f>
        <v>50-59 ans</v>
      </c>
      <c r="B17" s="20">
        <f t="shared" si="1"/>
        <v>21268</v>
      </c>
      <c r="C17" s="20">
        <f t="shared" si="3"/>
        <v>6481</v>
      </c>
      <c r="D17" s="20">
        <f t="shared" si="3"/>
        <v>3882</v>
      </c>
      <c r="E17" s="20">
        <f t="shared" si="3"/>
        <v>2085</v>
      </c>
      <c r="F17" s="20">
        <f t="shared" si="3"/>
        <v>3740</v>
      </c>
      <c r="G17" s="20">
        <f t="shared" si="3"/>
        <v>1331</v>
      </c>
      <c r="H17" s="20">
        <f t="shared" si="3"/>
        <v>627</v>
      </c>
      <c r="I17" s="20">
        <f t="shared" si="3"/>
        <v>1517</v>
      </c>
      <c r="J17" s="21">
        <f t="shared" si="3"/>
        <v>1605</v>
      </c>
    </row>
    <row r="18" spans="1:10" ht="15">
      <c r="A18" s="6" t="str">
        <f>_xlfn.CUBEMEMBER("walle RP2012",{"[Geographie].[Subdivision].&amp;[1]","[Individus].[Age d?cennal].[Age d?cennal 80].&amp;[6]"})</f>
        <v>60-69 ans</v>
      </c>
      <c r="B18" s="20">
        <f t="shared" si="1"/>
        <v>11947</v>
      </c>
      <c r="C18" s="20">
        <f t="shared" si="3"/>
        <v>4561</v>
      </c>
      <c r="D18" s="20">
        <f t="shared" si="3"/>
        <v>2359</v>
      </c>
      <c r="E18" s="20">
        <f t="shared" si="3"/>
        <v>1211</v>
      </c>
      <c r="F18" s="20">
        <f t="shared" si="3"/>
        <v>1336</v>
      </c>
      <c r="G18" s="20">
        <f t="shared" si="3"/>
        <v>612</v>
      </c>
      <c r="H18" s="20">
        <f t="shared" si="3"/>
        <v>242</v>
      </c>
      <c r="I18" s="20">
        <f t="shared" si="3"/>
        <v>693</v>
      </c>
      <c r="J18" s="21">
        <f t="shared" si="3"/>
        <v>933</v>
      </c>
    </row>
    <row r="19" spans="1:10" ht="15">
      <c r="A19" s="6" t="str">
        <f>_xlfn.CUBEMEMBER("walle RP2012",{"[Geographie].[Subdivision].&amp;[1]","[Individus].[Age d?cennal].[Age d?cennal 80].&amp;[7]"})</f>
        <v>70-79 ans</v>
      </c>
      <c r="B19" s="20">
        <f t="shared" si="1"/>
        <v>6069</v>
      </c>
      <c r="C19" s="20">
        <f t="shared" si="3"/>
        <v>3294</v>
      </c>
      <c r="D19" s="20">
        <f t="shared" si="3"/>
        <v>1160</v>
      </c>
      <c r="E19" s="20">
        <f t="shared" si="3"/>
        <v>515</v>
      </c>
      <c r="F19" s="20">
        <f t="shared" si="3"/>
        <v>325</v>
      </c>
      <c r="G19" s="20">
        <f t="shared" si="3"/>
        <v>207</v>
      </c>
      <c r="H19" s="20">
        <f t="shared" si="3"/>
        <v>85</v>
      </c>
      <c r="I19" s="20">
        <f t="shared" si="3"/>
        <v>189</v>
      </c>
      <c r="J19" s="21">
        <f t="shared" si="3"/>
        <v>294</v>
      </c>
    </row>
    <row r="20" spans="1:10" ht="15">
      <c r="A20" s="6" t="str">
        <f>_xlfn.CUBEMEMBER("walle RP2012",{"[Geographie].[Subdivision].&amp;[1]","[Individus].[Age d?cennal].[Age d?cennal 80].&amp;[8]"})</f>
        <v>80 ans et plus</v>
      </c>
      <c r="B20" s="20">
        <f t="shared" si="1"/>
        <v>2158</v>
      </c>
      <c r="C20" s="20">
        <f t="shared" si="3"/>
        <v>1375</v>
      </c>
      <c r="D20" s="20">
        <f t="shared" si="3"/>
        <v>344</v>
      </c>
      <c r="E20" s="20">
        <f t="shared" si="3"/>
        <v>152</v>
      </c>
      <c r="F20" s="20">
        <f t="shared" si="3"/>
        <v>75</v>
      </c>
      <c r="G20" s="20">
        <f t="shared" si="3"/>
        <v>67</v>
      </c>
      <c r="H20" s="20">
        <f t="shared" si="3"/>
        <v>22</v>
      </c>
      <c r="I20" s="20">
        <f t="shared" si="3"/>
        <v>47</v>
      </c>
      <c r="J20" s="21">
        <f t="shared" si="3"/>
        <v>76</v>
      </c>
    </row>
    <row r="21" spans="1:10" ht="15">
      <c r="A21" s="17" t="str">
        <f>_xlfn.CUBEMEMBER("walle RP2012","[Geographie].[Subdivision].&amp;[2]")</f>
        <v>Iles Sous-Le-Vent</v>
      </c>
      <c r="B21" s="18">
        <f t="shared" si="1"/>
        <v>25908</v>
      </c>
      <c r="C21" s="18">
        <f t="shared" si="3"/>
        <v>10455</v>
      </c>
      <c r="D21" s="18">
        <f t="shared" si="3"/>
        <v>2676</v>
      </c>
      <c r="E21" s="18">
        <f t="shared" si="3"/>
        <v>3434</v>
      </c>
      <c r="F21" s="18">
        <f t="shared" si="3"/>
        <v>4855</v>
      </c>
      <c r="G21" s="18">
        <f t="shared" si="3"/>
        <v>1415</v>
      </c>
      <c r="H21" s="18">
        <f t="shared" si="3"/>
        <v>1348</v>
      </c>
      <c r="I21" s="18">
        <f t="shared" si="3"/>
        <v>1023</v>
      </c>
      <c r="J21" s="19">
        <f t="shared" si="3"/>
        <v>702</v>
      </c>
    </row>
    <row r="22" spans="1:10" ht="15">
      <c r="A22" s="6" t="str">
        <f>_xlfn.CUBEMEMBER("walle RP2012",{"[Geographie].[Subdivision].&amp;[2]","[Individus].[Age d?cennal].[Age d?cennal 80].&amp;[1]"})</f>
        <v>10-19 ans</v>
      </c>
      <c r="B22" s="20">
        <f t="shared" si="1"/>
        <v>3120</v>
      </c>
      <c r="C22" s="20">
        <f aca="true" t="shared" si="4" ref="C22:I22">_xlfn.CUBEVALUE("walle RP2012",$A$2,$A22,C$2)</f>
        <v>1045</v>
      </c>
      <c r="D22" s="20">
        <f t="shared" si="4"/>
        <v>191</v>
      </c>
      <c r="E22" s="20">
        <f t="shared" si="4"/>
        <v>1270</v>
      </c>
      <c r="F22" s="20">
        <f t="shared" si="4"/>
        <v>407</v>
      </c>
      <c r="G22" s="20">
        <f t="shared" si="4"/>
        <v>89</v>
      </c>
      <c r="H22" s="20">
        <f t="shared" si="4"/>
        <v>114</v>
      </c>
      <c r="I22" s="20">
        <f t="shared" si="4"/>
        <v>4</v>
      </c>
      <c r="J22" s="21">
        <f aca="true" t="shared" si="5" ref="G22:J37">_xlfn.CUBEVALUE("walle RP2012",$A$2,$A22,J$2)</f>
      </c>
    </row>
    <row r="23" spans="1:10" ht="15">
      <c r="A23" s="6" t="str">
        <f>_xlfn.CUBEMEMBER("walle RP2012",{"[Geographie].[Subdivision].&amp;[2]","[Individus].[Age d?cennal].[Age d?cennal 80].&amp;[2]"})</f>
        <v>20-29 ans</v>
      </c>
      <c r="B23" s="20">
        <f t="shared" si="1"/>
        <v>5510</v>
      </c>
      <c r="C23" s="20">
        <f aca="true" t="shared" si="6" ref="C23:F42">_xlfn.CUBEVALUE("walle RP2012",$A$2,$A23,C$2)</f>
        <v>1726</v>
      </c>
      <c r="D23" s="20">
        <f t="shared" si="6"/>
        <v>225</v>
      </c>
      <c r="E23" s="20">
        <f t="shared" si="6"/>
        <v>780</v>
      </c>
      <c r="F23" s="20">
        <f t="shared" si="6"/>
        <v>1368</v>
      </c>
      <c r="G23" s="20">
        <f t="shared" si="5"/>
        <v>419</v>
      </c>
      <c r="H23" s="20">
        <f t="shared" si="5"/>
        <v>654</v>
      </c>
      <c r="I23" s="20">
        <f t="shared" si="5"/>
        <v>263</v>
      </c>
      <c r="J23" s="21">
        <f t="shared" si="5"/>
        <v>75</v>
      </c>
    </row>
    <row r="24" spans="1:10" ht="15">
      <c r="A24" s="6" t="str">
        <f>_xlfn.CUBEMEMBER("walle RP2012",{"[Geographie].[Subdivision].&amp;[2]","[Individus].[Age d?cennal].[Age d?cennal 80].&amp;[3]"})</f>
        <v>30-39 ans</v>
      </c>
      <c r="B24" s="20">
        <f t="shared" si="1"/>
        <v>4954</v>
      </c>
      <c r="C24" s="20">
        <f t="shared" si="6"/>
        <v>1875</v>
      </c>
      <c r="D24" s="20">
        <f t="shared" si="6"/>
        <v>402</v>
      </c>
      <c r="E24" s="20">
        <f t="shared" si="6"/>
        <v>470</v>
      </c>
      <c r="F24" s="20">
        <f t="shared" si="6"/>
        <v>1117</v>
      </c>
      <c r="G24" s="20">
        <f t="shared" si="5"/>
        <v>332</v>
      </c>
      <c r="H24" s="20">
        <f t="shared" si="5"/>
        <v>301</v>
      </c>
      <c r="I24" s="20">
        <f t="shared" si="5"/>
        <v>278</v>
      </c>
      <c r="J24" s="21">
        <f t="shared" si="5"/>
        <v>179</v>
      </c>
    </row>
    <row r="25" spans="1:10" ht="15">
      <c r="A25" s="6" t="str">
        <f>_xlfn.CUBEMEMBER("walle RP2012",{"[Geographie].[Subdivision].&amp;[2]","[Individus].[Age d?cennal].[Age d?cennal 80].&amp;[4]"})</f>
        <v>40-49 ans</v>
      </c>
      <c r="B25" s="20">
        <f t="shared" si="1"/>
        <v>5001</v>
      </c>
      <c r="C25" s="20">
        <f t="shared" si="6"/>
        <v>1982</v>
      </c>
      <c r="D25" s="20">
        <f t="shared" si="6"/>
        <v>645</v>
      </c>
      <c r="E25" s="20">
        <f t="shared" si="6"/>
        <v>403</v>
      </c>
      <c r="F25" s="20">
        <f t="shared" si="6"/>
        <v>1103</v>
      </c>
      <c r="G25" s="20">
        <f t="shared" si="5"/>
        <v>264</v>
      </c>
      <c r="H25" s="20">
        <f t="shared" si="5"/>
        <v>155</v>
      </c>
      <c r="I25" s="20">
        <f t="shared" si="5"/>
        <v>252</v>
      </c>
      <c r="J25" s="21">
        <f t="shared" si="5"/>
        <v>197</v>
      </c>
    </row>
    <row r="26" spans="1:10" ht="15">
      <c r="A26" s="6" t="str">
        <f>_xlfn.CUBEMEMBER("walle RP2012",{"[Geographie].[Subdivision].&amp;[2]","[Individus].[Age d?cennal].[Age d?cennal 80].&amp;[5]"})</f>
        <v>50-59 ans</v>
      </c>
      <c r="B26" s="20">
        <f t="shared" si="1"/>
        <v>3460</v>
      </c>
      <c r="C26" s="20">
        <f t="shared" si="6"/>
        <v>1474</v>
      </c>
      <c r="D26" s="20">
        <f t="shared" si="6"/>
        <v>617</v>
      </c>
      <c r="E26" s="20">
        <f t="shared" si="6"/>
        <v>275</v>
      </c>
      <c r="F26" s="20">
        <f t="shared" si="6"/>
        <v>574</v>
      </c>
      <c r="G26" s="20">
        <f t="shared" si="5"/>
        <v>183</v>
      </c>
      <c r="H26" s="20">
        <f t="shared" si="5"/>
        <v>83</v>
      </c>
      <c r="I26" s="20">
        <f t="shared" si="5"/>
        <v>135</v>
      </c>
      <c r="J26" s="21">
        <f t="shared" si="5"/>
        <v>119</v>
      </c>
    </row>
    <row r="27" spans="1:10" ht="15">
      <c r="A27" s="6" t="str">
        <f>_xlfn.CUBEMEMBER("walle RP2012",{"[Geographie].[Subdivision].&amp;[2]","[Individus].[Age d?cennal].[Age d?cennal 80].&amp;[6]"})</f>
        <v>60-69 ans</v>
      </c>
      <c r="B27" s="20">
        <f t="shared" si="1"/>
        <v>2222</v>
      </c>
      <c r="C27" s="20">
        <f t="shared" si="6"/>
        <v>1130</v>
      </c>
      <c r="D27" s="20">
        <f t="shared" si="6"/>
        <v>383</v>
      </c>
      <c r="E27" s="20">
        <f t="shared" si="6"/>
        <v>163</v>
      </c>
      <c r="F27" s="20">
        <f t="shared" si="6"/>
        <v>231</v>
      </c>
      <c r="G27" s="20">
        <f t="shared" si="5"/>
        <v>109</v>
      </c>
      <c r="H27" s="20">
        <f t="shared" si="5"/>
        <v>30</v>
      </c>
      <c r="I27" s="20">
        <f t="shared" si="5"/>
        <v>73</v>
      </c>
      <c r="J27" s="21">
        <f t="shared" si="5"/>
        <v>103</v>
      </c>
    </row>
    <row r="28" spans="1:10" ht="15">
      <c r="A28" s="6" t="str">
        <f>_xlfn.CUBEMEMBER("walle RP2012",{"[Geographie].[Subdivision].&amp;[2]","[Individus].[Age d?cennal].[Age d?cennal 80].&amp;[7]"})</f>
        <v>70-79 ans</v>
      </c>
      <c r="B28" s="20">
        <f t="shared" si="1"/>
        <v>1239</v>
      </c>
      <c r="C28" s="20">
        <f t="shared" si="6"/>
        <v>893</v>
      </c>
      <c r="D28" s="20">
        <f t="shared" si="6"/>
        <v>167</v>
      </c>
      <c r="E28" s="20">
        <f t="shared" si="6"/>
        <v>66</v>
      </c>
      <c r="F28" s="20">
        <f t="shared" si="6"/>
        <v>49</v>
      </c>
      <c r="G28" s="20">
        <f t="shared" si="5"/>
        <v>16</v>
      </c>
      <c r="H28" s="20">
        <f t="shared" si="5"/>
        <v>8</v>
      </c>
      <c r="I28" s="20">
        <f t="shared" si="5"/>
        <v>16</v>
      </c>
      <c r="J28" s="21">
        <f t="shared" si="5"/>
        <v>24</v>
      </c>
    </row>
    <row r="29" spans="1:10" ht="15">
      <c r="A29" s="6" t="str">
        <f>_xlfn.CUBEMEMBER("walle RP2012",{"[Geographie].[Subdivision].&amp;[2]","[Individus].[Age d?cennal].[Age d?cennal 80].&amp;[8]"})</f>
        <v>80 ans et plus</v>
      </c>
      <c r="B29" s="20">
        <f t="shared" si="1"/>
        <v>402</v>
      </c>
      <c r="C29" s="20">
        <f t="shared" si="6"/>
        <v>330</v>
      </c>
      <c r="D29" s="20">
        <f t="shared" si="6"/>
        <v>46</v>
      </c>
      <c r="E29" s="20">
        <f t="shared" si="6"/>
        <v>7</v>
      </c>
      <c r="F29" s="20">
        <f t="shared" si="6"/>
        <v>6</v>
      </c>
      <c r="G29" s="20">
        <f t="shared" si="5"/>
        <v>3</v>
      </c>
      <c r="H29" s="20">
        <f t="shared" si="5"/>
        <v>3</v>
      </c>
      <c r="I29" s="20">
        <f t="shared" si="5"/>
        <v>2</v>
      </c>
      <c r="J29" s="21">
        <f t="shared" si="5"/>
        <v>5</v>
      </c>
    </row>
    <row r="30" spans="1:10" ht="15">
      <c r="A30" s="17" t="str">
        <f>_xlfn.CUBEMEMBER("walle RP2012","[Geographie].[Subdivision].&amp;[3]")</f>
        <v>Marquises</v>
      </c>
      <c r="B30" s="18">
        <f t="shared" si="1"/>
        <v>6732</v>
      </c>
      <c r="C30" s="18">
        <f t="shared" si="6"/>
        <v>2769</v>
      </c>
      <c r="D30" s="18">
        <f t="shared" si="6"/>
        <v>741</v>
      </c>
      <c r="E30" s="18">
        <f t="shared" si="6"/>
        <v>1105</v>
      </c>
      <c r="F30" s="18">
        <f t="shared" si="6"/>
        <v>1075</v>
      </c>
      <c r="G30" s="18">
        <f t="shared" si="5"/>
        <v>247</v>
      </c>
      <c r="H30" s="18">
        <f t="shared" si="5"/>
        <v>403</v>
      </c>
      <c r="I30" s="18">
        <f t="shared" si="5"/>
        <v>272</v>
      </c>
      <c r="J30" s="19">
        <f t="shared" si="5"/>
        <v>120</v>
      </c>
    </row>
    <row r="31" spans="1:10" ht="15">
      <c r="A31" s="6" t="str">
        <f>_xlfn.CUBEMEMBER("walle RP2012",{"[Geographie].[Subdivision].&amp;[3]","[Individus].[Age d?cennal].[Age d?cennal 80].&amp;[1]"})</f>
        <v>10-19 ans</v>
      </c>
      <c r="B31" s="20">
        <f t="shared" si="1"/>
        <v>753</v>
      </c>
      <c r="C31" s="20">
        <f t="shared" si="6"/>
        <v>234</v>
      </c>
      <c r="D31" s="20">
        <f t="shared" si="6"/>
        <v>41</v>
      </c>
      <c r="E31" s="20">
        <f t="shared" si="6"/>
        <v>365</v>
      </c>
      <c r="F31" s="20">
        <f t="shared" si="6"/>
        <v>77</v>
      </c>
      <c r="G31" s="20">
        <f t="shared" si="5"/>
        <v>10</v>
      </c>
      <c r="H31" s="20">
        <f t="shared" si="5"/>
        <v>26</v>
      </c>
      <c r="I31" s="20">
        <f t="shared" si="5"/>
      </c>
      <c r="J31" s="21">
        <f t="shared" si="5"/>
      </c>
    </row>
    <row r="32" spans="1:10" ht="15">
      <c r="A32" s="6" t="str">
        <f>_xlfn.CUBEMEMBER("walle RP2012",{"[Geographie].[Subdivision].&amp;[3]","[Individus].[Age d?cennal].[Age d?cennal 80].&amp;[2]"})</f>
        <v>20-29 ans</v>
      </c>
      <c r="B32" s="20">
        <f t="shared" si="1"/>
        <v>1521</v>
      </c>
      <c r="C32" s="20">
        <f t="shared" si="6"/>
        <v>382</v>
      </c>
      <c r="D32" s="20">
        <f t="shared" si="6"/>
        <v>43</v>
      </c>
      <c r="E32" s="20">
        <f t="shared" si="6"/>
        <v>273</v>
      </c>
      <c r="F32" s="20">
        <f t="shared" si="6"/>
        <v>413</v>
      </c>
      <c r="G32" s="20">
        <f t="shared" si="5"/>
        <v>104</v>
      </c>
      <c r="H32" s="20">
        <f t="shared" si="5"/>
        <v>226</v>
      </c>
      <c r="I32" s="20">
        <f t="shared" si="5"/>
        <v>71</v>
      </c>
      <c r="J32" s="21">
        <f t="shared" si="5"/>
        <v>9</v>
      </c>
    </row>
    <row r="33" spans="1:10" ht="15">
      <c r="A33" s="6" t="str">
        <f>_xlfn.CUBEMEMBER("walle RP2012",{"[Geographie].[Subdivision].&amp;[3]","[Individus].[Age d?cennal].[Age d?cennal 80].&amp;[3]"})</f>
        <v>30-39 ans</v>
      </c>
      <c r="B33" s="20">
        <f t="shared" si="1"/>
        <v>1299</v>
      </c>
      <c r="C33" s="20">
        <f t="shared" si="6"/>
        <v>493</v>
      </c>
      <c r="D33" s="20">
        <f t="shared" si="6"/>
        <v>90</v>
      </c>
      <c r="E33" s="20">
        <f t="shared" si="6"/>
        <v>175</v>
      </c>
      <c r="F33" s="20">
        <f t="shared" si="6"/>
        <v>257</v>
      </c>
      <c r="G33" s="20">
        <f t="shared" si="5"/>
        <v>66</v>
      </c>
      <c r="H33" s="20">
        <f t="shared" si="5"/>
        <v>97</v>
      </c>
      <c r="I33" s="20">
        <f t="shared" si="5"/>
        <v>80</v>
      </c>
      <c r="J33" s="21">
        <f t="shared" si="5"/>
        <v>41</v>
      </c>
    </row>
    <row r="34" spans="1:10" ht="15">
      <c r="A34" s="6" t="str">
        <f>_xlfn.CUBEMEMBER("walle RP2012",{"[Geographie].[Subdivision].&amp;[3]","[Individus].[Age d?cennal].[Age d?cennal 80].&amp;[4]"})</f>
        <v>40-49 ans</v>
      </c>
      <c r="B34" s="20">
        <f t="shared" si="1"/>
        <v>1298</v>
      </c>
      <c r="C34" s="20">
        <f t="shared" si="6"/>
        <v>551</v>
      </c>
      <c r="D34" s="20">
        <f t="shared" si="6"/>
        <v>242</v>
      </c>
      <c r="E34" s="20">
        <f t="shared" si="6"/>
        <v>144</v>
      </c>
      <c r="F34" s="20">
        <f t="shared" si="6"/>
        <v>205</v>
      </c>
      <c r="G34" s="20">
        <f t="shared" si="5"/>
        <v>38</v>
      </c>
      <c r="H34" s="20">
        <f t="shared" si="5"/>
        <v>31</v>
      </c>
      <c r="I34" s="20">
        <f t="shared" si="5"/>
        <v>59</v>
      </c>
      <c r="J34" s="21">
        <f t="shared" si="5"/>
        <v>28</v>
      </c>
    </row>
    <row r="35" spans="1:10" ht="15">
      <c r="A35" s="6" t="str">
        <f>_xlfn.CUBEMEMBER("walle RP2012",{"[Geographie].[Subdivision].&amp;[3]","[Individus].[Age d?cennal].[Age d?cennal 80].&amp;[5]"})</f>
        <v>50-59 ans</v>
      </c>
      <c r="B35" s="20">
        <f t="shared" si="1"/>
        <v>964</v>
      </c>
      <c r="C35" s="20">
        <f t="shared" si="6"/>
        <v>461</v>
      </c>
      <c r="D35" s="20">
        <f t="shared" si="6"/>
        <v>209</v>
      </c>
      <c r="E35" s="20">
        <f t="shared" si="6"/>
        <v>105</v>
      </c>
      <c r="F35" s="20">
        <f t="shared" si="6"/>
        <v>92</v>
      </c>
      <c r="G35" s="20">
        <f t="shared" si="5"/>
        <v>15</v>
      </c>
      <c r="H35" s="20">
        <f t="shared" si="5"/>
        <v>18</v>
      </c>
      <c r="I35" s="20">
        <f t="shared" si="5"/>
        <v>43</v>
      </c>
      <c r="J35" s="21">
        <f t="shared" si="5"/>
        <v>21</v>
      </c>
    </row>
    <row r="36" spans="1:10" ht="15">
      <c r="A36" s="6" t="str">
        <f>_xlfn.CUBEMEMBER("walle RP2012",{"[Geographie].[Subdivision].&amp;[3]","[Individus].[Age d?cennal].[Age d?cennal 80].&amp;[6]"})</f>
        <v>60-69 ans</v>
      </c>
      <c r="B36" s="20">
        <f t="shared" si="1"/>
        <v>516</v>
      </c>
      <c r="C36" s="20">
        <f t="shared" si="6"/>
        <v>319</v>
      </c>
      <c r="D36" s="20">
        <f t="shared" si="6"/>
        <v>90</v>
      </c>
      <c r="E36" s="20">
        <f t="shared" si="6"/>
        <v>34</v>
      </c>
      <c r="F36" s="20">
        <f t="shared" si="6"/>
        <v>25</v>
      </c>
      <c r="G36" s="20">
        <f t="shared" si="5"/>
        <v>11</v>
      </c>
      <c r="H36" s="20">
        <f t="shared" si="5"/>
        <v>5</v>
      </c>
      <c r="I36" s="20">
        <f t="shared" si="5"/>
        <v>15</v>
      </c>
      <c r="J36" s="21">
        <f t="shared" si="5"/>
        <v>17</v>
      </c>
    </row>
    <row r="37" spans="1:10" ht="15">
      <c r="A37" s="6" t="str">
        <f>_xlfn.CUBEMEMBER("walle RP2012",{"[Geographie].[Subdivision].&amp;[3]","[Individus].[Age d?cennal].[Age d?cennal 80].&amp;[7]"})</f>
        <v>70-79 ans</v>
      </c>
      <c r="B37" s="20">
        <f t="shared" si="1"/>
        <v>296</v>
      </c>
      <c r="C37" s="20">
        <f t="shared" si="6"/>
        <v>251</v>
      </c>
      <c r="D37" s="20">
        <f t="shared" si="6"/>
        <v>22</v>
      </c>
      <c r="E37" s="20">
        <f t="shared" si="6"/>
        <v>8</v>
      </c>
      <c r="F37" s="20">
        <f t="shared" si="6"/>
        <v>5</v>
      </c>
      <c r="G37" s="20">
        <f t="shared" si="5"/>
        <v>3</v>
      </c>
      <c r="H37" s="20">
        <f t="shared" si="5"/>
      </c>
      <c r="I37" s="20">
        <f t="shared" si="5"/>
        <v>4</v>
      </c>
      <c r="J37" s="21">
        <f t="shared" si="5"/>
        <v>3</v>
      </c>
    </row>
    <row r="38" spans="1:10" ht="15">
      <c r="A38" s="6" t="str">
        <f>_xlfn.CUBEMEMBER("walle RP2012",{"[Geographie].[Subdivision].&amp;[3]","[Individus].[Age d?cennal].[Age d?cennal 80].&amp;[8]"})</f>
        <v>80 ans et plus</v>
      </c>
      <c r="B38" s="20">
        <f t="shared" si="1"/>
        <v>85</v>
      </c>
      <c r="C38" s="20">
        <f t="shared" si="6"/>
        <v>78</v>
      </c>
      <c r="D38" s="20">
        <f t="shared" si="6"/>
        <v>4</v>
      </c>
      <c r="E38" s="20">
        <f t="shared" si="6"/>
        <v>1</v>
      </c>
      <c r="F38" s="20">
        <f t="shared" si="6"/>
        <v>1</v>
      </c>
      <c r="G38" s="20">
        <f aca="true" t="shared" si="7" ref="G38:J53">_xlfn.CUBEVALUE("walle RP2012",$A$2,$A38,G$2)</f>
      </c>
      <c r="H38" s="20">
        <f t="shared" si="7"/>
      </c>
      <c r="I38" s="20">
        <f t="shared" si="7"/>
      </c>
      <c r="J38" s="21">
        <f t="shared" si="7"/>
        <v>1</v>
      </c>
    </row>
    <row r="39" spans="1:10" ht="15">
      <c r="A39" s="17" t="str">
        <f>_xlfn.CUBEMEMBER("walle RP2012","[Geographie].[Subdivision].&amp;[4]")</f>
        <v>Australes</v>
      </c>
      <c r="B39" s="18">
        <f t="shared" si="1"/>
        <v>4969</v>
      </c>
      <c r="C39" s="18">
        <f t="shared" si="6"/>
        <v>2210</v>
      </c>
      <c r="D39" s="18">
        <f t="shared" si="6"/>
        <v>663</v>
      </c>
      <c r="E39" s="18">
        <f t="shared" si="6"/>
        <v>792</v>
      </c>
      <c r="F39" s="18">
        <f t="shared" si="6"/>
        <v>644</v>
      </c>
      <c r="G39" s="18">
        <f t="shared" si="7"/>
        <v>203</v>
      </c>
      <c r="H39" s="18">
        <f t="shared" si="7"/>
        <v>232</v>
      </c>
      <c r="I39" s="18">
        <f t="shared" si="7"/>
        <v>154</v>
      </c>
      <c r="J39" s="19">
        <f t="shared" si="7"/>
        <v>71</v>
      </c>
    </row>
    <row r="40" spans="1:10" ht="15">
      <c r="A40" s="6" t="str">
        <f>_xlfn.CUBEMEMBER("walle RP2012",{"[Geographie].[Subdivision].&amp;[4]","[Individus].[Age d?cennal].[Age d?cennal 80].&amp;[1]"})</f>
        <v>10-19 ans</v>
      </c>
      <c r="B40" s="20">
        <f t="shared" si="1"/>
        <v>490</v>
      </c>
      <c r="C40" s="20">
        <f t="shared" si="6"/>
        <v>109</v>
      </c>
      <c r="D40" s="20">
        <f t="shared" si="6"/>
        <v>50</v>
      </c>
      <c r="E40" s="20">
        <f t="shared" si="6"/>
        <v>278</v>
      </c>
      <c r="F40" s="20">
        <f t="shared" si="6"/>
        <v>32</v>
      </c>
      <c r="G40" s="20">
        <f t="shared" si="7"/>
        <v>7</v>
      </c>
      <c r="H40" s="20">
        <f t="shared" si="7"/>
        <v>14</v>
      </c>
      <c r="I40" s="20">
        <f t="shared" si="7"/>
      </c>
      <c r="J40" s="21">
        <f t="shared" si="7"/>
      </c>
    </row>
    <row r="41" spans="1:10" ht="15">
      <c r="A41" s="6" t="str">
        <f>_xlfn.CUBEMEMBER("walle RP2012",{"[Geographie].[Subdivision].&amp;[4]","[Individus].[Age d?cennal].[Age d?cennal 80].&amp;[2]"})</f>
        <v>20-29 ans</v>
      </c>
      <c r="B41" s="20">
        <f t="shared" si="1"/>
        <v>1134</v>
      </c>
      <c r="C41" s="20">
        <f t="shared" si="6"/>
        <v>305</v>
      </c>
      <c r="D41" s="20">
        <f t="shared" si="6"/>
        <v>96</v>
      </c>
      <c r="E41" s="20">
        <f t="shared" si="6"/>
        <v>237</v>
      </c>
      <c r="F41" s="20">
        <f t="shared" si="6"/>
        <v>222</v>
      </c>
      <c r="G41" s="20">
        <f t="shared" si="7"/>
        <v>97</v>
      </c>
      <c r="H41" s="20">
        <f t="shared" si="7"/>
        <v>114</v>
      </c>
      <c r="I41" s="20">
        <f t="shared" si="7"/>
        <v>54</v>
      </c>
      <c r="J41" s="21">
        <f t="shared" si="7"/>
        <v>9</v>
      </c>
    </row>
    <row r="42" spans="1:10" ht="15">
      <c r="A42" s="6" t="str">
        <f>_xlfn.CUBEMEMBER("walle RP2012",{"[Geographie].[Subdivision].&amp;[4]","[Individus].[Age d?cennal].[Age d?cennal 80].&amp;[3]"})</f>
        <v>30-39 ans</v>
      </c>
      <c r="B42" s="20">
        <f t="shared" si="1"/>
        <v>873</v>
      </c>
      <c r="C42" s="20">
        <f t="shared" si="6"/>
        <v>309</v>
      </c>
      <c r="D42" s="20">
        <f t="shared" si="6"/>
        <v>103</v>
      </c>
      <c r="E42" s="20">
        <f t="shared" si="6"/>
        <v>112</v>
      </c>
      <c r="F42" s="20">
        <f t="shared" si="6"/>
        <v>165</v>
      </c>
      <c r="G42" s="20">
        <f t="shared" si="7"/>
        <v>48</v>
      </c>
      <c r="H42" s="20">
        <f t="shared" si="7"/>
        <v>70</v>
      </c>
      <c r="I42" s="20">
        <f t="shared" si="7"/>
        <v>43</v>
      </c>
      <c r="J42" s="21">
        <f t="shared" si="7"/>
        <v>23</v>
      </c>
    </row>
    <row r="43" spans="1:10" ht="15">
      <c r="A43" s="6" t="str">
        <f>_xlfn.CUBEMEMBER("walle RP2012",{"[Geographie].[Subdivision].&amp;[4]","[Individus].[Age d?cennal].[Age d?cennal 80].&amp;[4]"})</f>
        <v>40-49 ans</v>
      </c>
      <c r="B43" s="20">
        <f t="shared" si="1"/>
        <v>940</v>
      </c>
      <c r="C43" s="20">
        <f aca="true" t="shared" si="8" ref="C43:F56">_xlfn.CUBEVALUE("walle RP2012",$A$2,$A43,C$2)</f>
        <v>447</v>
      </c>
      <c r="D43" s="20">
        <f t="shared" si="8"/>
        <v>193</v>
      </c>
      <c r="E43" s="20">
        <f t="shared" si="8"/>
        <v>88</v>
      </c>
      <c r="F43" s="20">
        <f t="shared" si="8"/>
        <v>132</v>
      </c>
      <c r="G43" s="20">
        <f t="shared" si="7"/>
        <v>20</v>
      </c>
      <c r="H43" s="20">
        <f t="shared" si="7"/>
        <v>21</v>
      </c>
      <c r="I43" s="20">
        <f t="shared" si="7"/>
        <v>28</v>
      </c>
      <c r="J43" s="21">
        <f t="shared" si="7"/>
        <v>11</v>
      </c>
    </row>
    <row r="44" spans="1:10" ht="15">
      <c r="A44" s="6" t="str">
        <f>_xlfn.CUBEMEMBER("walle RP2012",{"[Geographie].[Subdivision].&amp;[4]","[Individus].[Age d?cennal].[Age d?cennal 80].&amp;[5]"})</f>
        <v>50-59 ans</v>
      </c>
      <c r="B44" s="20">
        <f t="shared" si="1"/>
        <v>734</v>
      </c>
      <c r="C44" s="20">
        <f t="shared" si="8"/>
        <v>407</v>
      </c>
      <c r="D44" s="20">
        <f t="shared" si="8"/>
        <v>138</v>
      </c>
      <c r="E44" s="20">
        <f t="shared" si="8"/>
        <v>54</v>
      </c>
      <c r="F44" s="20">
        <f t="shared" si="8"/>
        <v>72</v>
      </c>
      <c r="G44" s="20">
        <f t="shared" si="7"/>
        <v>21</v>
      </c>
      <c r="H44" s="20">
        <f t="shared" si="7"/>
        <v>5</v>
      </c>
      <c r="I44" s="20">
        <f t="shared" si="7"/>
        <v>21</v>
      </c>
      <c r="J44" s="21">
        <f t="shared" si="7"/>
        <v>16</v>
      </c>
    </row>
    <row r="45" spans="1:10" ht="15">
      <c r="A45" s="6" t="str">
        <f>_xlfn.CUBEMEMBER("walle RP2012",{"[Geographie].[Subdivision].&amp;[4]","[Individus].[Age d?cennal].[Age d?cennal 80].&amp;[6]"})</f>
        <v>60-69 ans</v>
      </c>
      <c r="B45" s="20">
        <f t="shared" si="1"/>
        <v>423</v>
      </c>
      <c r="C45" s="20">
        <f t="shared" si="8"/>
        <v>305</v>
      </c>
      <c r="D45" s="20">
        <f t="shared" si="8"/>
        <v>55</v>
      </c>
      <c r="E45" s="20">
        <f t="shared" si="8"/>
        <v>19</v>
      </c>
      <c r="F45" s="20">
        <f t="shared" si="8"/>
        <v>20</v>
      </c>
      <c r="G45" s="20">
        <f t="shared" si="7"/>
        <v>6</v>
      </c>
      <c r="H45" s="20">
        <f t="shared" si="7"/>
        <v>5</v>
      </c>
      <c r="I45" s="20">
        <f t="shared" si="7"/>
        <v>6</v>
      </c>
      <c r="J45" s="21">
        <f t="shared" si="7"/>
        <v>7</v>
      </c>
    </row>
    <row r="46" spans="1:10" ht="15">
      <c r="A46" s="6" t="str">
        <f>_xlfn.CUBEMEMBER("walle RP2012",{"[Geographie].[Subdivision].&amp;[4]","[Individus].[Age d?cennal].[Age d?cennal 80].&amp;[7]"})</f>
        <v>70-79 ans</v>
      </c>
      <c r="B46" s="20">
        <f t="shared" si="1"/>
        <v>279</v>
      </c>
      <c r="C46" s="20">
        <f t="shared" si="8"/>
        <v>237</v>
      </c>
      <c r="D46" s="20">
        <f t="shared" si="8"/>
        <v>23</v>
      </c>
      <c r="E46" s="20">
        <f t="shared" si="8"/>
        <v>4</v>
      </c>
      <c r="F46" s="20">
        <f t="shared" si="8"/>
        <v>1</v>
      </c>
      <c r="G46" s="20">
        <f t="shared" si="7"/>
        <v>4</v>
      </c>
      <c r="H46" s="20">
        <f t="shared" si="7"/>
        <v>3</v>
      </c>
      <c r="I46" s="20">
        <f t="shared" si="7"/>
        <v>2</v>
      </c>
      <c r="J46" s="21">
        <f t="shared" si="7"/>
        <v>5</v>
      </c>
    </row>
    <row r="47" spans="1:10" ht="15">
      <c r="A47" s="6" t="str">
        <f>_xlfn.CUBEMEMBER("walle RP2012",{"[Geographie].[Subdivision].&amp;[4]","[Individus].[Age d?cennal].[Age d?cennal 80].&amp;[8]"})</f>
        <v>80 ans et plus</v>
      </c>
      <c r="B47" s="20">
        <f t="shared" si="1"/>
        <v>96</v>
      </c>
      <c r="C47" s="20">
        <f t="shared" si="8"/>
        <v>91</v>
      </c>
      <c r="D47" s="20">
        <f t="shared" si="8"/>
        <v>5</v>
      </c>
      <c r="E47" s="20">
        <f t="shared" si="8"/>
      </c>
      <c r="F47" s="20">
        <f t="shared" si="8"/>
      </c>
      <c r="G47" s="20">
        <f t="shared" si="7"/>
      </c>
      <c r="H47" s="20">
        <f t="shared" si="7"/>
      </c>
      <c r="I47" s="20">
        <f t="shared" si="7"/>
      </c>
      <c r="J47" s="21">
        <f t="shared" si="7"/>
      </c>
    </row>
    <row r="48" spans="1:10" ht="15">
      <c r="A48" s="17" t="str">
        <f>_xlfn.CUBEMEMBER("walle RP2012","[Geographie].[Subdivision].&amp;[5]")</f>
        <v>Tuamotu-Gambier</v>
      </c>
      <c r="B48" s="18">
        <f t="shared" si="1"/>
        <v>12427</v>
      </c>
      <c r="C48" s="18">
        <f t="shared" si="8"/>
        <v>5710</v>
      </c>
      <c r="D48" s="18">
        <f t="shared" si="8"/>
        <v>1776</v>
      </c>
      <c r="E48" s="18">
        <f t="shared" si="8"/>
        <v>1690</v>
      </c>
      <c r="F48" s="18">
        <f t="shared" si="8"/>
        <v>1708</v>
      </c>
      <c r="G48" s="18">
        <f t="shared" si="7"/>
        <v>454</v>
      </c>
      <c r="H48" s="18">
        <f t="shared" si="7"/>
        <v>552</v>
      </c>
      <c r="I48" s="18">
        <f t="shared" si="7"/>
        <v>341</v>
      </c>
      <c r="J48" s="19">
        <f t="shared" si="7"/>
        <v>196</v>
      </c>
    </row>
    <row r="49" spans="1:10" ht="15">
      <c r="A49" s="6" t="str">
        <f>_xlfn.CUBEMEMBER("walle RP2012",{"[Geographie].[Subdivision].&amp;[5]","[Individus].[Age d?cennal].[Age d?cennal 80].&amp;[1]"})</f>
        <v>10-19 ans</v>
      </c>
      <c r="B49" s="20">
        <f t="shared" si="1"/>
        <v>1438</v>
      </c>
      <c r="C49" s="20">
        <f t="shared" si="8"/>
        <v>554</v>
      </c>
      <c r="D49" s="20">
        <f t="shared" si="8"/>
        <v>118</v>
      </c>
      <c r="E49" s="20">
        <f t="shared" si="8"/>
        <v>569</v>
      </c>
      <c r="F49" s="20">
        <f t="shared" si="8"/>
        <v>112</v>
      </c>
      <c r="G49" s="20">
        <f t="shared" si="7"/>
        <v>30</v>
      </c>
      <c r="H49" s="20">
        <f t="shared" si="7"/>
        <v>55</v>
      </c>
      <c r="I49" s="20">
        <f t="shared" si="7"/>
      </c>
      <c r="J49" s="21">
        <f t="shared" si="7"/>
      </c>
    </row>
    <row r="50" spans="1:10" ht="15">
      <c r="A50" s="6" t="str">
        <f>_xlfn.CUBEMEMBER("walle RP2012",{"[Geographie].[Subdivision].&amp;[5]","[Individus].[Age d?cennal].[Age d?cennal 80].&amp;[2]"})</f>
        <v>20-29 ans</v>
      </c>
      <c r="B50" s="20">
        <f t="shared" si="1"/>
        <v>3117</v>
      </c>
      <c r="C50" s="20">
        <f t="shared" si="8"/>
        <v>1218</v>
      </c>
      <c r="D50" s="20">
        <f t="shared" si="8"/>
        <v>220</v>
      </c>
      <c r="E50" s="20">
        <f t="shared" si="8"/>
        <v>524</v>
      </c>
      <c r="F50" s="20">
        <f t="shared" si="8"/>
        <v>599</v>
      </c>
      <c r="G50" s="20">
        <f t="shared" si="7"/>
        <v>167</v>
      </c>
      <c r="H50" s="20">
        <f t="shared" si="7"/>
        <v>282</v>
      </c>
      <c r="I50" s="20">
        <f t="shared" si="7"/>
        <v>90</v>
      </c>
      <c r="J50" s="21">
        <f t="shared" si="7"/>
        <v>17</v>
      </c>
    </row>
    <row r="51" spans="1:10" ht="15">
      <c r="A51" s="6" t="str">
        <f>_xlfn.CUBEMEMBER("walle RP2012",{"[Geographie].[Subdivision].&amp;[5]","[Individus].[Age d?cennal].[Age d?cennal 80].&amp;[3]"})</f>
        <v>30-39 ans</v>
      </c>
      <c r="B51" s="20">
        <f t="shared" si="1"/>
        <v>2613</v>
      </c>
      <c r="C51" s="20">
        <f t="shared" si="8"/>
        <v>1111</v>
      </c>
      <c r="D51" s="20">
        <f t="shared" si="8"/>
        <v>414</v>
      </c>
      <c r="E51" s="20">
        <f t="shared" si="8"/>
        <v>260</v>
      </c>
      <c r="F51" s="20">
        <f t="shared" si="8"/>
        <v>435</v>
      </c>
      <c r="G51" s="20">
        <f t="shared" si="7"/>
        <v>109</v>
      </c>
      <c r="H51" s="20">
        <f t="shared" si="7"/>
        <v>126</v>
      </c>
      <c r="I51" s="20">
        <f t="shared" si="7"/>
        <v>107</v>
      </c>
      <c r="J51" s="21">
        <f t="shared" si="7"/>
        <v>51</v>
      </c>
    </row>
    <row r="52" spans="1:10" ht="15">
      <c r="A52" s="6" t="str">
        <f>_xlfn.CUBEMEMBER("walle RP2012",{"[Geographie].[Subdivision].&amp;[5]","[Individus].[Age d?cennal].[Age d?cennal 80].&amp;[4]"})</f>
        <v>40-49 ans</v>
      </c>
      <c r="B52" s="20">
        <f t="shared" si="1"/>
        <v>2301</v>
      </c>
      <c r="C52" s="20">
        <f t="shared" si="8"/>
        <v>1089</v>
      </c>
      <c r="D52" s="20">
        <f t="shared" si="8"/>
        <v>480</v>
      </c>
      <c r="E52" s="20">
        <f t="shared" si="8"/>
        <v>165</v>
      </c>
      <c r="F52" s="20">
        <f t="shared" si="8"/>
        <v>308</v>
      </c>
      <c r="G52" s="20">
        <f t="shared" si="7"/>
        <v>75</v>
      </c>
      <c r="H52" s="20">
        <f t="shared" si="7"/>
        <v>59</v>
      </c>
      <c r="I52" s="20">
        <f t="shared" si="7"/>
        <v>75</v>
      </c>
      <c r="J52" s="21">
        <f t="shared" si="7"/>
        <v>50</v>
      </c>
    </row>
    <row r="53" spans="1:10" ht="15">
      <c r="A53" s="6" t="str">
        <f>_xlfn.CUBEMEMBER("walle RP2012",{"[Geographie].[Subdivision].&amp;[5]","[Individus].[Age d?cennal].[Age d?cennal 80].&amp;[5]"})</f>
        <v>50-59 ans</v>
      </c>
      <c r="B53" s="20">
        <f t="shared" si="1"/>
        <v>1555</v>
      </c>
      <c r="C53" s="20">
        <f t="shared" si="8"/>
        <v>745</v>
      </c>
      <c r="D53" s="20">
        <f t="shared" si="8"/>
        <v>340</v>
      </c>
      <c r="E53" s="20">
        <f t="shared" si="8"/>
        <v>113</v>
      </c>
      <c r="F53" s="20">
        <f t="shared" si="8"/>
        <v>192</v>
      </c>
      <c r="G53" s="20">
        <f t="shared" si="7"/>
        <v>44</v>
      </c>
      <c r="H53" s="20">
        <f t="shared" si="7"/>
        <v>27</v>
      </c>
      <c r="I53" s="20">
        <f t="shared" si="7"/>
        <v>46</v>
      </c>
      <c r="J53" s="21">
        <f t="shared" si="7"/>
        <v>48</v>
      </c>
    </row>
    <row r="54" spans="1:10" ht="15">
      <c r="A54" s="6" t="str">
        <f>_xlfn.CUBEMEMBER("walle RP2012",{"[Geographie].[Subdivision].&amp;[5]","[Individus].[Age d?cennal].[Age d?cennal 80].&amp;[6]"})</f>
        <v>60-69 ans</v>
      </c>
      <c r="B54" s="20">
        <f t="shared" si="1"/>
        <v>839</v>
      </c>
      <c r="C54" s="20">
        <f t="shared" si="8"/>
        <v>548</v>
      </c>
      <c r="D54" s="20">
        <f t="shared" si="8"/>
        <v>138</v>
      </c>
      <c r="E54" s="20">
        <f t="shared" si="8"/>
        <v>43</v>
      </c>
      <c r="F54" s="20">
        <f t="shared" si="8"/>
        <v>51</v>
      </c>
      <c r="G54" s="20">
        <f aca="true" t="shared" si="9" ref="G54:J56">_xlfn.CUBEVALUE("walle RP2012",$A$2,$A54,G$2)</f>
        <v>18</v>
      </c>
      <c r="H54" s="20">
        <f t="shared" si="9"/>
        <v>2</v>
      </c>
      <c r="I54" s="20">
        <f t="shared" si="9"/>
        <v>18</v>
      </c>
      <c r="J54" s="21">
        <f t="shared" si="9"/>
        <v>21</v>
      </c>
    </row>
    <row r="55" spans="1:10" ht="15">
      <c r="A55" s="6" t="str">
        <f>_xlfn.CUBEMEMBER("walle RP2012",{"[Geographie].[Subdivision].&amp;[5]","[Individus].[Age d?cennal].[Age d?cennal 80].&amp;[7]"})</f>
        <v>70-79 ans</v>
      </c>
      <c r="B55" s="20">
        <f t="shared" si="1"/>
        <v>472</v>
      </c>
      <c r="C55" s="20">
        <f t="shared" si="8"/>
        <v>372</v>
      </c>
      <c r="D55" s="20">
        <f t="shared" si="8"/>
        <v>55</v>
      </c>
      <c r="E55" s="20">
        <f t="shared" si="8"/>
        <v>14</v>
      </c>
      <c r="F55" s="20">
        <f t="shared" si="8"/>
        <v>10</v>
      </c>
      <c r="G55" s="20">
        <f t="shared" si="9"/>
        <v>10</v>
      </c>
      <c r="H55" s="20">
        <f t="shared" si="9"/>
      </c>
      <c r="I55" s="20">
        <f t="shared" si="9"/>
        <v>3</v>
      </c>
      <c r="J55" s="21">
        <f t="shared" si="9"/>
        <v>8</v>
      </c>
    </row>
    <row r="56" spans="1:10" ht="15">
      <c r="A56" s="12" t="str">
        <f>_xlfn.CUBEMEMBER("walle RP2012",{"[Geographie].[Subdivision].&amp;[5]","[Individus].[Age d?cennal].[Age d?cennal 80].&amp;[8]"})</f>
        <v>80 ans et plus</v>
      </c>
      <c r="B56" s="22">
        <f t="shared" si="1"/>
        <v>92</v>
      </c>
      <c r="C56" s="22">
        <f t="shared" si="8"/>
        <v>73</v>
      </c>
      <c r="D56" s="22">
        <f t="shared" si="8"/>
        <v>11</v>
      </c>
      <c r="E56" s="22">
        <f t="shared" si="8"/>
        <v>2</v>
      </c>
      <c r="F56" s="22">
        <f t="shared" si="8"/>
        <v>1</v>
      </c>
      <c r="G56" s="22">
        <f t="shared" si="9"/>
        <v>1</v>
      </c>
      <c r="H56" s="22">
        <f t="shared" si="9"/>
        <v>1</v>
      </c>
      <c r="I56" s="22">
        <f t="shared" si="9"/>
        <v>2</v>
      </c>
      <c r="J56" s="23">
        <f t="shared" si="9"/>
        <v>1</v>
      </c>
    </row>
    <row r="57" spans="1:10" ht="15">
      <c r="A57" s="24"/>
      <c r="B57" s="25"/>
      <c r="C57" s="25"/>
      <c r="D57" s="25"/>
      <c r="E57" s="25"/>
      <c r="F57" s="25"/>
      <c r="G57" s="14"/>
      <c r="H57" s="14"/>
      <c r="I57" s="14"/>
      <c r="J57" s="10" t="s">
        <v>2</v>
      </c>
    </row>
    <row r="58" spans="1:10" ht="15">
      <c r="A58" s="24"/>
      <c r="B58" s="25"/>
      <c r="C58" s="25"/>
      <c r="D58" s="25"/>
      <c r="E58" s="25"/>
      <c r="F58" s="25"/>
      <c r="G58" s="14"/>
      <c r="H58" s="14"/>
      <c r="I58" s="14"/>
      <c r="J58" s="1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">
      <selection activeCell="A10" sqref="A10"/>
    </sheetView>
  </sheetViews>
  <sheetFormatPr defaultColWidth="11.421875" defaultRowHeight="15"/>
  <cols>
    <col min="1" max="1" width="16.140625" style="0" customWidth="1"/>
    <col min="2" max="2" width="8.57421875" style="0" customWidth="1"/>
    <col min="3" max="3" width="9.00390625" style="0" customWidth="1"/>
    <col min="4" max="4" width="5.421875" style="0" customWidth="1"/>
    <col min="5" max="5" width="6.7109375" style="0" customWidth="1"/>
    <col min="6" max="6" width="7.28125" style="0" customWidth="1"/>
    <col min="7" max="7" width="8.28125" style="0" customWidth="1"/>
    <col min="8" max="8" width="12.140625" style="0" customWidth="1"/>
    <col min="9" max="9" width="12.00390625" style="0" customWidth="1"/>
    <col min="10" max="10" width="9.7109375" style="0" customWidth="1"/>
    <col min="11" max="11" width="12.57421875" style="0" bestFit="1" customWidth="1"/>
  </cols>
  <sheetData>
    <row r="1" spans="1:10" ht="26.25" customHeight="1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3.75">
      <c r="A2" s="26" t="str">
        <f>_xlfn.CUBEMEMBER("walle RP2012","[Measures].[Individus de 15 ans et plus]","Lieu de naissance")</f>
        <v>Lieu de naissance</v>
      </c>
      <c r="B2" s="15" t="str">
        <f>_xlfn.CUBEMEMBER("walle RP2012","[Individus].[Dernier Diplôme Obtenu].[All]","Ensemble")</f>
        <v>Ensemble</v>
      </c>
      <c r="C2" s="15" t="str">
        <f>_xlfn.CUBEMEMBER("walle RP2012","[Individus].[Dernier Diplôme Obtenu].&amp;[0]")</f>
        <v>Aucun diplôme</v>
      </c>
      <c r="D2" s="15" t="str">
        <f>_xlfn.CUBEMEMBER("walle RP2012","[Individus].[Dernier Diplôme Obtenu].&amp;[1]")</f>
        <v>CEP</v>
      </c>
      <c r="E2" s="15" t="str">
        <f>_xlfn.CUBEMEMBER("walle RP2012","[Individus].[Dernier Diplôme Obtenu].&amp;[2]")</f>
        <v>BEPC</v>
      </c>
      <c r="F2" s="15" t="str">
        <f>_xlfn.CUBESET("walle RP2012","{[Individus].[Dernier Diplôme Obtenu].&amp;[3],[Individus].[Dernier Diplôme Obtenu].&amp;[4]}","CAP-BEP")</f>
        <v>CAP-BEP</v>
      </c>
      <c r="G2" s="15" t="str">
        <f>_xlfn.CUBEMEMBER("walle RP2012","[Individus].[Dernier Diplôme Obtenu].&amp;[5]")</f>
        <v>Bac général</v>
      </c>
      <c r="H2" s="15" t="str">
        <f>_xlfn.CUBEMEMBER("walle RP2012","[Individus].[Dernier Diplôme Obtenu].&amp;[6]")</f>
        <v>Bac technologique</v>
      </c>
      <c r="I2" s="15" t="str">
        <f>_xlfn.CUBEMEMBER("walle RP2012","[Individus].[Dernier Diplôme Obtenu].&amp;[7]")</f>
        <v>1er cycle Universitaire</v>
      </c>
      <c r="J2" s="16" t="str">
        <f>_xlfn.CUBEMEMBER("walle RP2012","[Individus].[Dernier Diplôme Obtenu].&amp;[8]","2e ou 3e cycle universitaire")</f>
        <v>2e ou 3e cycle universitaire</v>
      </c>
    </row>
    <row r="3" spans="1:10" ht="15">
      <c r="A3" s="17" t="str">
        <f>_xlfn.CUBEMEMBER("walle RP2012","[Individus].[Age quinquennal].[All]","Ensemble")</f>
        <v>Ensemble</v>
      </c>
      <c r="B3" s="18">
        <f aca="true" t="shared" si="0" ref="B3:J11">_xlfn.CUBEVALUE("walle RP2012",$A$2,$A3,B$2)</f>
        <v>202825</v>
      </c>
      <c r="C3" s="18">
        <f t="shared" si="0"/>
        <v>62927</v>
      </c>
      <c r="D3" s="18">
        <f t="shared" si="0"/>
        <v>21915</v>
      </c>
      <c r="E3" s="18">
        <f t="shared" si="0"/>
        <v>29117</v>
      </c>
      <c r="F3" s="18">
        <f t="shared" si="0"/>
        <v>34262</v>
      </c>
      <c r="G3" s="18">
        <f t="shared" si="0"/>
        <v>14970</v>
      </c>
      <c r="H3" s="18">
        <f t="shared" si="0"/>
        <v>14991</v>
      </c>
      <c r="I3" s="18">
        <f t="shared" si="0"/>
        <v>14519</v>
      </c>
      <c r="J3" s="19">
        <f t="shared" si="0"/>
        <v>10124</v>
      </c>
    </row>
    <row r="4" spans="1:10" ht="15">
      <c r="A4" s="6" t="str">
        <f>_xlfn.CUBEMEMBER("walle RP2012","[Individus].[Age décennal].[Age décennal 80].&amp;[1]")</f>
        <v>10-19 ans</v>
      </c>
      <c r="B4" s="20">
        <f t="shared" si="0"/>
        <v>23048</v>
      </c>
      <c r="C4" s="20">
        <f t="shared" si="0"/>
        <v>5904</v>
      </c>
      <c r="D4" s="20">
        <f t="shared" si="0"/>
        <v>1150</v>
      </c>
      <c r="E4" s="20">
        <f t="shared" si="0"/>
        <v>10446</v>
      </c>
      <c r="F4" s="20">
        <f t="shared" si="0"/>
        <v>2589</v>
      </c>
      <c r="G4" s="20">
        <f t="shared" si="0"/>
        <v>1498</v>
      </c>
      <c r="H4" s="20">
        <f t="shared" si="0"/>
        <v>1314</v>
      </c>
      <c r="I4" s="20">
        <f t="shared" si="0"/>
        <v>142</v>
      </c>
      <c r="J4" s="21">
        <f t="shared" si="0"/>
        <v>5</v>
      </c>
    </row>
    <row r="5" spans="1:10" ht="15">
      <c r="A5" s="6" t="str">
        <f>_xlfn.CUBEMEMBER("walle RP2012","[Individus].[Age décennal].[Age décennal 80].&amp;[2]")</f>
        <v>20-29 ans</v>
      </c>
      <c r="B5" s="20">
        <f t="shared" si="0"/>
        <v>45164</v>
      </c>
      <c r="C5" s="20">
        <f t="shared" si="0"/>
        <v>10665</v>
      </c>
      <c r="D5" s="20">
        <f t="shared" si="0"/>
        <v>1721</v>
      </c>
      <c r="E5" s="20">
        <f t="shared" si="0"/>
        <v>6325</v>
      </c>
      <c r="F5" s="20">
        <f t="shared" si="0"/>
        <v>9043</v>
      </c>
      <c r="G5" s="20">
        <f t="shared" si="0"/>
        <v>4855</v>
      </c>
      <c r="H5" s="20">
        <f t="shared" si="0"/>
        <v>7001</v>
      </c>
      <c r="I5" s="20">
        <f t="shared" si="0"/>
        <v>4164</v>
      </c>
      <c r="J5" s="21">
        <f t="shared" si="0"/>
        <v>1390</v>
      </c>
    </row>
    <row r="6" spans="1:10" ht="15">
      <c r="A6" s="6" t="str">
        <f>_xlfn.CUBEMEMBER("walle RP2012","[Individus].[Age décennal].[Age décennal 80].&amp;[3]")</f>
        <v>30-39 ans</v>
      </c>
      <c r="B6" s="20">
        <f t="shared" si="0"/>
        <v>40010</v>
      </c>
      <c r="C6" s="20">
        <f t="shared" si="0"/>
        <v>10751</v>
      </c>
      <c r="D6" s="20">
        <f t="shared" si="0"/>
        <v>3052</v>
      </c>
      <c r="E6" s="20">
        <f t="shared" si="0"/>
        <v>4013</v>
      </c>
      <c r="F6" s="20">
        <f t="shared" si="0"/>
        <v>8113</v>
      </c>
      <c r="G6" s="20">
        <f t="shared" si="0"/>
        <v>3461</v>
      </c>
      <c r="H6" s="20">
        <f t="shared" si="0"/>
        <v>3687</v>
      </c>
      <c r="I6" s="20">
        <f t="shared" si="0"/>
        <v>4167</v>
      </c>
      <c r="J6" s="21">
        <f t="shared" si="0"/>
        <v>2766</v>
      </c>
    </row>
    <row r="7" spans="1:10" ht="15">
      <c r="A7" s="6" t="str">
        <f>_xlfn.CUBEMEMBER("walle RP2012","[Individus].[Age décennal].[Age décennal 80].&amp;[4]")</f>
        <v>40-49 ans</v>
      </c>
      <c r="B7" s="20">
        <f t="shared" si="0"/>
        <v>39487</v>
      </c>
      <c r="C7" s="20">
        <f t="shared" si="0"/>
        <v>12182</v>
      </c>
      <c r="D7" s="20">
        <f t="shared" si="0"/>
        <v>5944</v>
      </c>
      <c r="E7" s="20">
        <f t="shared" si="0"/>
        <v>3462</v>
      </c>
      <c r="F7" s="20">
        <f t="shared" si="0"/>
        <v>7711</v>
      </c>
      <c r="G7" s="20">
        <f t="shared" si="0"/>
        <v>2495</v>
      </c>
      <c r="H7" s="20">
        <f t="shared" si="0"/>
        <v>1823</v>
      </c>
      <c r="I7" s="20">
        <f t="shared" si="0"/>
        <v>3214</v>
      </c>
      <c r="J7" s="21">
        <f t="shared" si="0"/>
        <v>2656</v>
      </c>
    </row>
    <row r="8" spans="1:10" ht="15">
      <c r="A8" s="6" t="str">
        <f>_xlfn.CUBEMEMBER("walle RP2012","[Individus].[Age décennal].[Age décennal 80].&amp;[5]")</f>
        <v>50-59 ans</v>
      </c>
      <c r="B8" s="20">
        <f t="shared" si="0"/>
        <v>27981</v>
      </c>
      <c r="C8" s="20">
        <f t="shared" si="0"/>
        <v>9568</v>
      </c>
      <c r="D8" s="20">
        <f t="shared" si="0"/>
        <v>5186</v>
      </c>
      <c r="E8" s="20">
        <f t="shared" si="0"/>
        <v>2632</v>
      </c>
      <c r="F8" s="20">
        <f t="shared" si="0"/>
        <v>4670</v>
      </c>
      <c r="G8" s="20">
        <f t="shared" si="0"/>
        <v>1594</v>
      </c>
      <c r="H8" s="20">
        <f t="shared" si="0"/>
        <v>760</v>
      </c>
      <c r="I8" s="20">
        <f t="shared" si="0"/>
        <v>1762</v>
      </c>
      <c r="J8" s="21">
        <f t="shared" si="0"/>
        <v>1809</v>
      </c>
    </row>
    <row r="9" spans="1:10" ht="15">
      <c r="A9" s="6" t="str">
        <f>_xlfn.CUBEMEMBER("walle RP2012","[Individus].[Age décennal].[Age décennal 80].&amp;[6]")</f>
        <v>60-69 ans</v>
      </c>
      <c r="B9" s="20">
        <f t="shared" si="0"/>
        <v>15947</v>
      </c>
      <c r="C9" s="20">
        <f t="shared" si="0"/>
        <v>6863</v>
      </c>
      <c r="D9" s="20">
        <f t="shared" si="0"/>
        <v>3025</v>
      </c>
      <c r="E9" s="20">
        <f t="shared" si="0"/>
        <v>1470</v>
      </c>
      <c r="F9" s="20">
        <f t="shared" si="0"/>
        <v>1663</v>
      </c>
      <c r="G9" s="20">
        <f t="shared" si="0"/>
        <v>756</v>
      </c>
      <c r="H9" s="20">
        <f t="shared" si="0"/>
        <v>284</v>
      </c>
      <c r="I9" s="20">
        <f t="shared" si="0"/>
        <v>805</v>
      </c>
      <c r="J9" s="21">
        <f t="shared" si="0"/>
        <v>1081</v>
      </c>
    </row>
    <row r="10" spans="1:10" ht="15">
      <c r="A10" s="6" t="str">
        <f>_xlfn.CUBEMEMBER("walle RP2012","[Individus].[Age décennal].[Age décennal 80].&amp;[7]")</f>
        <v>70-79 ans</v>
      </c>
      <c r="B10" s="20">
        <f t="shared" si="0"/>
        <v>8355</v>
      </c>
      <c r="C10" s="20">
        <f t="shared" si="0"/>
        <v>5047</v>
      </c>
      <c r="D10" s="20">
        <f t="shared" si="0"/>
        <v>1427</v>
      </c>
      <c r="E10" s="20">
        <f t="shared" si="0"/>
        <v>607</v>
      </c>
      <c r="F10" s="20">
        <f t="shared" si="0"/>
        <v>390</v>
      </c>
      <c r="G10" s="20">
        <f t="shared" si="0"/>
        <v>240</v>
      </c>
      <c r="H10" s="20">
        <f t="shared" si="0"/>
        <v>96</v>
      </c>
      <c r="I10" s="20">
        <f t="shared" si="0"/>
        <v>214</v>
      </c>
      <c r="J10" s="21">
        <f t="shared" si="0"/>
        <v>334</v>
      </c>
    </row>
    <row r="11" spans="1:10" ht="15">
      <c r="A11" s="6" t="str">
        <f>_xlfn.CUBEMEMBER("walle RP2012","[Individus].[Age décennal].[Age décennal 80].&amp;[8]")</f>
        <v>80 ans et plus</v>
      </c>
      <c r="B11" s="20">
        <f t="shared" si="0"/>
        <v>2833</v>
      </c>
      <c r="C11" s="20">
        <f t="shared" si="0"/>
        <v>1947</v>
      </c>
      <c r="D11" s="20">
        <f t="shared" si="0"/>
        <v>410</v>
      </c>
      <c r="E11" s="20">
        <f t="shared" si="0"/>
        <v>162</v>
      </c>
      <c r="F11" s="20">
        <f t="shared" si="0"/>
        <v>83</v>
      </c>
      <c r="G11" s="20">
        <f t="shared" si="0"/>
        <v>71</v>
      </c>
      <c r="H11" s="20">
        <f t="shared" si="0"/>
        <v>26</v>
      </c>
      <c r="I11" s="20">
        <f t="shared" si="0"/>
        <v>51</v>
      </c>
      <c r="J11" s="21">
        <f t="shared" si="0"/>
        <v>83</v>
      </c>
    </row>
    <row r="12" spans="1:10" ht="15">
      <c r="A12" s="17" t="str">
        <f>_xlfn.CUBEMEMBER("walle RP2012","[Individus].[Lieu de naissance].[Lieu De Naissance 1].&amp;[1000]")</f>
        <v>Polynésie française</v>
      </c>
      <c r="B12" s="18">
        <f aca="true" t="shared" si="1" ref="B12:B21">_xlfn.CUBEVALUE("walle RP2012",$A$2,$A12,B$2)</f>
        <v>176133</v>
      </c>
      <c r="C12" s="18">
        <f aca="true" t="shared" si="2" ref="C12:J13">_xlfn.CUBEVALUE("walle RP2012",$A$2,$A12,C$2)</f>
        <v>60958</v>
      </c>
      <c r="D12" s="18">
        <f t="shared" si="2"/>
        <v>20955</v>
      </c>
      <c r="E12" s="18">
        <f t="shared" si="2"/>
        <v>26799</v>
      </c>
      <c r="F12" s="18">
        <f t="shared" si="2"/>
        <v>30432</v>
      </c>
      <c r="G12" s="18">
        <f t="shared" si="2"/>
        <v>11593</v>
      </c>
      <c r="H12" s="18">
        <f t="shared" si="2"/>
        <v>12962</v>
      </c>
      <c r="I12" s="18">
        <f t="shared" si="2"/>
        <v>8584</v>
      </c>
      <c r="J12" s="19">
        <f t="shared" si="2"/>
        <v>3850</v>
      </c>
    </row>
    <row r="13" spans="1:10" ht="15">
      <c r="A13" s="6" t="str">
        <f>_xlfn.CUBEMEMBER("walle RP2012",{"[Individus].[Lieu de naissance].[Lieu De Naissance 1].&amp;[1000]","[Individus].[Age d?cennal].[Age d?cennal 80].&amp;[1]"})</f>
        <v>10-19 ans</v>
      </c>
      <c r="B13" s="20">
        <f t="shared" si="1"/>
        <v>21893</v>
      </c>
      <c r="C13" s="20">
        <f t="shared" si="2"/>
        <v>5820</v>
      </c>
      <c r="D13" s="20">
        <f t="shared" si="2"/>
        <v>1137</v>
      </c>
      <c r="E13" s="20">
        <f t="shared" si="2"/>
        <v>9676</v>
      </c>
      <c r="F13" s="20">
        <f t="shared" si="2"/>
        <v>2523</v>
      </c>
      <c r="G13" s="20">
        <f t="shared" si="2"/>
        <v>1338</v>
      </c>
      <c r="H13" s="20">
        <f t="shared" si="2"/>
        <v>1267</v>
      </c>
      <c r="I13" s="20">
        <f t="shared" si="2"/>
        <v>127</v>
      </c>
      <c r="J13" s="21">
        <f t="shared" si="2"/>
        <v>5</v>
      </c>
    </row>
    <row r="14" spans="1:10" ht="15">
      <c r="A14" s="6" t="str">
        <f>_xlfn.CUBEMEMBER("walle RP2012",{"[Individus].[Lieu de naissance].[Lieu De Naissance 1].&amp;[1000]","[Individus].[Age d?cennal].[Age d?cennal 80].&amp;[2]"})</f>
        <v>20-29 ans</v>
      </c>
      <c r="B14" s="20">
        <f t="shared" si="1"/>
        <v>42523</v>
      </c>
      <c r="C14" s="20">
        <f aca="true" t="shared" si="3" ref="C14:J21">_xlfn.CUBEVALUE("walle RP2012",$A$2,$A14,C$2)</f>
        <v>10533</v>
      </c>
      <c r="D14" s="20">
        <f t="shared" si="3"/>
        <v>1690</v>
      </c>
      <c r="E14" s="20">
        <f t="shared" si="3"/>
        <v>6172</v>
      </c>
      <c r="F14" s="20">
        <f t="shared" si="3"/>
        <v>8694</v>
      </c>
      <c r="G14" s="20">
        <f t="shared" si="3"/>
        <v>4374</v>
      </c>
      <c r="H14" s="20">
        <f t="shared" si="3"/>
        <v>6650</v>
      </c>
      <c r="I14" s="20">
        <f t="shared" si="3"/>
        <v>3446</v>
      </c>
      <c r="J14" s="21">
        <f t="shared" si="3"/>
        <v>964</v>
      </c>
    </row>
    <row r="15" spans="1:10" ht="15">
      <c r="A15" s="6" t="str">
        <f>_xlfn.CUBEMEMBER("walle RP2012",{"[Individus].[Lieu de naissance].[Lieu De Naissance 1].&amp;[1000]","[Individus].[Age d?cennal].[Age d?cennal 80].&amp;[3]"})</f>
        <v>30-39 ans</v>
      </c>
      <c r="B15" s="20">
        <f t="shared" si="1"/>
        <v>33972</v>
      </c>
      <c r="C15" s="20">
        <f t="shared" si="3"/>
        <v>10366</v>
      </c>
      <c r="D15" s="20">
        <f t="shared" si="3"/>
        <v>2959</v>
      </c>
      <c r="E15" s="20">
        <f t="shared" si="3"/>
        <v>3747</v>
      </c>
      <c r="F15" s="20">
        <f t="shared" si="3"/>
        <v>7353</v>
      </c>
      <c r="G15" s="20">
        <f t="shared" si="3"/>
        <v>2756</v>
      </c>
      <c r="H15" s="20">
        <f t="shared" si="3"/>
        <v>3105</v>
      </c>
      <c r="I15" s="20">
        <f t="shared" si="3"/>
        <v>2453</v>
      </c>
      <c r="J15" s="21">
        <f t="shared" si="3"/>
        <v>1233</v>
      </c>
    </row>
    <row r="16" spans="1:10" ht="15">
      <c r="A16" s="6" t="str">
        <f>_xlfn.CUBEMEMBER("walle RP2012",{"[Individus].[Lieu de naissance].[Lieu De Naissance 1].&amp;[1000]","[Individus].[Age d?cennal].[Age d?cennal 80].&amp;[4]"})</f>
        <v>40-49 ans</v>
      </c>
      <c r="B16" s="20">
        <f t="shared" si="1"/>
        <v>32434</v>
      </c>
      <c r="C16" s="20">
        <f t="shared" si="3"/>
        <v>11665</v>
      </c>
      <c r="D16" s="20">
        <f t="shared" si="3"/>
        <v>5747</v>
      </c>
      <c r="E16" s="20">
        <f t="shared" si="3"/>
        <v>3107</v>
      </c>
      <c r="F16" s="20">
        <f t="shared" si="3"/>
        <v>6501</v>
      </c>
      <c r="G16" s="20">
        <f t="shared" si="3"/>
        <v>1728</v>
      </c>
      <c r="H16" s="20">
        <f t="shared" si="3"/>
        <v>1321</v>
      </c>
      <c r="I16" s="20">
        <f t="shared" si="3"/>
        <v>1535</v>
      </c>
      <c r="J16" s="21">
        <f t="shared" si="3"/>
        <v>830</v>
      </c>
    </row>
    <row r="17" spans="1:10" ht="15">
      <c r="A17" s="6" t="str">
        <f>_xlfn.CUBEMEMBER("walle RP2012",{"[Individus].[Lieu de naissance].[Lieu De Naissance 1].&amp;[1000]","[Individus].[Age d?cennal].[Age d?cennal 80].&amp;[5]"})</f>
        <v>50-59 ans</v>
      </c>
      <c r="B17" s="20">
        <f t="shared" si="1"/>
        <v>22889</v>
      </c>
      <c r="C17" s="20">
        <f t="shared" si="3"/>
        <v>9216</v>
      </c>
      <c r="D17" s="20">
        <f t="shared" si="3"/>
        <v>4974</v>
      </c>
      <c r="E17" s="20">
        <f t="shared" si="3"/>
        <v>2301</v>
      </c>
      <c r="F17" s="20">
        <f t="shared" si="3"/>
        <v>3802</v>
      </c>
      <c r="G17" s="20">
        <f t="shared" si="3"/>
        <v>966</v>
      </c>
      <c r="H17" s="20">
        <f t="shared" si="3"/>
        <v>456</v>
      </c>
      <c r="I17" s="20">
        <f t="shared" si="3"/>
        <v>694</v>
      </c>
      <c r="J17" s="21">
        <f t="shared" si="3"/>
        <v>480</v>
      </c>
    </row>
    <row r="18" spans="1:10" ht="15">
      <c r="A18" s="6" t="str">
        <f>_xlfn.CUBEMEMBER("walle RP2012",{"[Individus].[Lieu de naissance].[Lieu De Naissance 1].&amp;[1000]","[Individus].[Age d?cennal].[Age d?cennal 80].&amp;[6]"})</f>
        <v>60-69 ans</v>
      </c>
      <c r="B18" s="20">
        <f t="shared" si="1"/>
        <v>12870</v>
      </c>
      <c r="C18" s="20">
        <f t="shared" si="3"/>
        <v>6640</v>
      </c>
      <c r="D18" s="20">
        <f t="shared" si="3"/>
        <v>2809</v>
      </c>
      <c r="E18" s="20">
        <f t="shared" si="3"/>
        <v>1209</v>
      </c>
      <c r="F18" s="20">
        <f t="shared" si="3"/>
        <v>1237</v>
      </c>
      <c r="G18" s="20">
        <f t="shared" si="3"/>
        <v>329</v>
      </c>
      <c r="H18" s="20">
        <f t="shared" si="3"/>
        <v>121</v>
      </c>
      <c r="I18" s="20">
        <f t="shared" si="3"/>
        <v>261</v>
      </c>
      <c r="J18" s="21">
        <f t="shared" si="3"/>
        <v>264</v>
      </c>
    </row>
    <row r="19" spans="1:10" ht="15">
      <c r="A19" s="6" t="str">
        <f>_xlfn.CUBEMEMBER("walle RP2012",{"[Individus].[Lieu de naissance].[Lieu De Naissance 1].&amp;[1000]","[Individus].[Age d?cennal].[Age d?cennal 80].&amp;[7]"})</f>
        <v>70-79 ans</v>
      </c>
      <c r="B19" s="20">
        <f t="shared" si="1"/>
        <v>7157</v>
      </c>
      <c r="C19" s="20">
        <f t="shared" si="3"/>
        <v>4876</v>
      </c>
      <c r="D19" s="20">
        <f t="shared" si="3"/>
        <v>1302</v>
      </c>
      <c r="E19" s="20">
        <f t="shared" si="3"/>
        <v>477</v>
      </c>
      <c r="F19" s="20">
        <f t="shared" si="3"/>
        <v>267</v>
      </c>
      <c r="G19" s="20">
        <f t="shared" si="3"/>
        <v>83</v>
      </c>
      <c r="H19" s="20">
        <f t="shared" si="3"/>
        <v>34</v>
      </c>
      <c r="I19" s="20">
        <f t="shared" si="3"/>
        <v>58</v>
      </c>
      <c r="J19" s="21">
        <f t="shared" si="3"/>
        <v>60</v>
      </c>
    </row>
    <row r="20" spans="1:10" ht="15">
      <c r="A20" s="6" t="str">
        <f>_xlfn.CUBEMEMBER("walle RP2012",{"[Individus].[Lieu de naissance].[Lieu De Naissance 1].&amp;[1000]","[Individus].[Age d?cennal].[Age d?cennal 80].&amp;[8]"})</f>
        <v>80 ans et plus</v>
      </c>
      <c r="B20" s="20">
        <f t="shared" si="1"/>
        <v>2395</v>
      </c>
      <c r="C20" s="20">
        <f t="shared" si="3"/>
        <v>1842</v>
      </c>
      <c r="D20" s="20">
        <f t="shared" si="3"/>
        <v>337</v>
      </c>
      <c r="E20" s="20">
        <f t="shared" si="3"/>
        <v>110</v>
      </c>
      <c r="F20" s="20">
        <f t="shared" si="3"/>
        <v>55</v>
      </c>
      <c r="G20" s="20">
        <f t="shared" si="3"/>
        <v>19</v>
      </c>
      <c r="H20" s="20">
        <f t="shared" si="3"/>
        <v>8</v>
      </c>
      <c r="I20" s="20">
        <f t="shared" si="3"/>
        <v>10</v>
      </c>
      <c r="J20" s="21">
        <f t="shared" si="3"/>
        <v>14</v>
      </c>
    </row>
    <row r="21" spans="1:10" ht="15">
      <c r="A21" s="17" t="str">
        <f>_xlfn.CUBESET("walle RP2012","{[Individus].[Lieu de naissance].[Lieu De Naissance 1].&amp;[2000],[Individus].[Lieu de naissance].[Lieu De Naissance 1].&amp;[3000],[Individus].[Lieu de naissance].[Lieu De Naissance 1].&amp;[4000]}","Métropole, DOM-TOM")</f>
        <v>Métropole, DOM-TOM</v>
      </c>
      <c r="B21" s="18">
        <f t="shared" si="1"/>
        <v>22548</v>
      </c>
      <c r="C21" s="18">
        <f t="shared" si="3"/>
        <v>1377</v>
      </c>
      <c r="D21" s="18">
        <f t="shared" si="3"/>
        <v>786</v>
      </c>
      <c r="E21" s="18">
        <f t="shared" si="3"/>
        <v>1971</v>
      </c>
      <c r="F21" s="18">
        <f t="shared" si="3"/>
        <v>3443</v>
      </c>
      <c r="G21" s="18">
        <f t="shared" si="3"/>
        <v>2738</v>
      </c>
      <c r="H21" s="18">
        <f t="shared" si="3"/>
        <v>1759</v>
      </c>
      <c r="I21" s="18">
        <f t="shared" si="3"/>
        <v>5188</v>
      </c>
      <c r="J21" s="19">
        <f t="shared" si="3"/>
        <v>5286</v>
      </c>
    </row>
    <row r="22" spans="1:10" ht="15">
      <c r="A22" s="6" t="str">
        <f>_xlfn.CUBEMEMBER("walle RP2012","[Individus].[Age décennal].[Age décennal 80].&amp;[1]")</f>
        <v>10-19 ans</v>
      </c>
      <c r="B22" s="20">
        <f>_xlfn.CUBEVALUE("walle RP2012",$A$2,$A22,B$2,$A$21)</f>
        <v>1031</v>
      </c>
      <c r="C22" s="20">
        <f>_xlfn.CUBEVALUE("walle RP2012",$A$2,$A22,C$2,$A$21)</f>
        <v>70</v>
      </c>
      <c r="D22" s="20">
        <f aca="true" t="shared" si="4" ref="D22:J29">_xlfn.CUBEVALUE("walle RP2012",$A$2,$A22,D$2,$A$21)</f>
        <v>11</v>
      </c>
      <c r="E22" s="20">
        <f t="shared" si="4"/>
        <v>695</v>
      </c>
      <c r="F22" s="20">
        <f t="shared" si="4"/>
        <v>61</v>
      </c>
      <c r="G22" s="20">
        <f t="shared" si="4"/>
        <v>138</v>
      </c>
      <c r="H22" s="20">
        <f t="shared" si="4"/>
        <v>41</v>
      </c>
      <c r="I22" s="20">
        <f t="shared" si="4"/>
        <v>15</v>
      </c>
      <c r="J22" s="21">
        <f t="shared" si="4"/>
      </c>
    </row>
    <row r="23" spans="1:10" ht="15">
      <c r="A23" s="6" t="str">
        <f>_xlfn.CUBEMEMBER("walle RP2012","[Individus].[Age décennal].[Age décennal 80].&amp;[2]")</f>
        <v>20-29 ans</v>
      </c>
      <c r="B23" s="20">
        <f aca="true" t="shared" si="5" ref="B23:C29">_xlfn.CUBEVALUE("walle RP2012",$A$2,$A23,B$2,$A$21)</f>
        <v>2331</v>
      </c>
      <c r="C23" s="20">
        <f t="shared" si="5"/>
        <v>91</v>
      </c>
      <c r="D23" s="20">
        <f t="shared" si="4"/>
        <v>20</v>
      </c>
      <c r="E23" s="20">
        <f t="shared" si="4"/>
        <v>136</v>
      </c>
      <c r="F23" s="20">
        <f t="shared" si="4"/>
        <v>324</v>
      </c>
      <c r="G23" s="20">
        <f t="shared" si="4"/>
        <v>391</v>
      </c>
      <c r="H23" s="20">
        <f t="shared" si="4"/>
        <v>313</v>
      </c>
      <c r="I23" s="20">
        <f t="shared" si="4"/>
        <v>669</v>
      </c>
      <c r="J23" s="21">
        <f t="shared" si="4"/>
        <v>387</v>
      </c>
    </row>
    <row r="24" spans="1:10" ht="15">
      <c r="A24" s="6" t="str">
        <f>_xlfn.CUBEMEMBER("walle RP2012","[Individus].[Age décennal].[Age décennal 80].&amp;[3]")</f>
        <v>30-39 ans</v>
      </c>
      <c r="B24" s="20">
        <f t="shared" si="5"/>
        <v>5263</v>
      </c>
      <c r="C24" s="20">
        <f t="shared" si="5"/>
        <v>298</v>
      </c>
      <c r="D24" s="20">
        <f t="shared" si="4"/>
        <v>72</v>
      </c>
      <c r="E24" s="20">
        <f t="shared" si="4"/>
        <v>222</v>
      </c>
      <c r="F24" s="20">
        <f t="shared" si="4"/>
        <v>686</v>
      </c>
      <c r="G24" s="20">
        <f t="shared" si="4"/>
        <v>594</v>
      </c>
      <c r="H24" s="20">
        <f t="shared" si="4"/>
        <v>532</v>
      </c>
      <c r="I24" s="20">
        <f t="shared" si="4"/>
        <v>1524</v>
      </c>
      <c r="J24" s="21">
        <f t="shared" si="4"/>
        <v>1335</v>
      </c>
    </row>
    <row r="25" spans="1:10" ht="15">
      <c r="A25" s="6" t="str">
        <f>_xlfn.CUBEMEMBER("walle RP2012","[Individus].[Age décennal].[Age décennal 80].&amp;[4]")</f>
        <v>40-49 ans</v>
      </c>
      <c r="B25" s="20">
        <f t="shared" si="5"/>
        <v>6145</v>
      </c>
      <c r="C25" s="20">
        <f t="shared" si="5"/>
        <v>382</v>
      </c>
      <c r="D25" s="20">
        <f t="shared" si="4"/>
        <v>166</v>
      </c>
      <c r="E25" s="20">
        <f t="shared" si="4"/>
        <v>306</v>
      </c>
      <c r="F25" s="20">
        <f t="shared" si="4"/>
        <v>1122</v>
      </c>
      <c r="G25" s="20">
        <f t="shared" si="4"/>
        <v>628</v>
      </c>
      <c r="H25" s="20">
        <f t="shared" si="4"/>
        <v>447</v>
      </c>
      <c r="I25" s="20">
        <f t="shared" si="4"/>
        <v>1497</v>
      </c>
      <c r="J25" s="21">
        <f t="shared" si="4"/>
        <v>1597</v>
      </c>
    </row>
    <row r="26" spans="1:10" ht="15">
      <c r="A26" s="6" t="str">
        <f>_xlfn.CUBEMEMBER("walle RP2012","[Individus].[Age décennal].[Age décennal 80].&amp;[5]")</f>
        <v>50-59 ans</v>
      </c>
      <c r="B26" s="20">
        <f t="shared" si="5"/>
        <v>4100</v>
      </c>
      <c r="C26" s="20">
        <f t="shared" si="5"/>
        <v>241</v>
      </c>
      <c r="D26" s="20">
        <f t="shared" si="4"/>
        <v>172</v>
      </c>
      <c r="E26" s="20">
        <f t="shared" si="4"/>
        <v>274</v>
      </c>
      <c r="F26" s="20">
        <f t="shared" si="4"/>
        <v>757</v>
      </c>
      <c r="G26" s="20">
        <f t="shared" si="4"/>
        <v>498</v>
      </c>
      <c r="H26" s="20">
        <f t="shared" si="4"/>
        <v>242</v>
      </c>
      <c r="I26" s="20">
        <f t="shared" si="4"/>
        <v>888</v>
      </c>
      <c r="J26" s="21">
        <f t="shared" si="4"/>
        <v>1028</v>
      </c>
    </row>
    <row r="27" spans="1:10" ht="15">
      <c r="A27" s="6" t="str">
        <f>_xlfn.CUBEMEMBER("walle RP2012","[Individus].[Age décennal].[Age décennal 80].&amp;[6]")</f>
        <v>60-69 ans</v>
      </c>
      <c r="B27" s="20">
        <f t="shared" si="5"/>
        <v>2469</v>
      </c>
      <c r="C27" s="20">
        <f t="shared" si="5"/>
        <v>140</v>
      </c>
      <c r="D27" s="20">
        <f t="shared" si="4"/>
        <v>180</v>
      </c>
      <c r="E27" s="20">
        <f t="shared" si="4"/>
        <v>202</v>
      </c>
      <c r="F27" s="20">
        <f t="shared" si="4"/>
        <v>372</v>
      </c>
      <c r="G27" s="20">
        <f t="shared" si="4"/>
        <v>326</v>
      </c>
      <c r="H27" s="20">
        <f t="shared" si="4"/>
        <v>132</v>
      </c>
      <c r="I27" s="20">
        <f t="shared" si="4"/>
        <v>451</v>
      </c>
      <c r="J27" s="21">
        <f t="shared" si="4"/>
        <v>666</v>
      </c>
    </row>
    <row r="28" spans="1:10" ht="15">
      <c r="A28" s="6" t="str">
        <f>_xlfn.CUBEMEMBER("walle RP2012","[Individus].[Age décennal].[Age décennal 80].&amp;[7]")</f>
        <v>70-79 ans</v>
      </c>
      <c r="B28" s="20">
        <f t="shared" si="5"/>
        <v>867</v>
      </c>
      <c r="C28" s="20">
        <f t="shared" si="5"/>
        <v>90</v>
      </c>
      <c r="D28" s="20">
        <f t="shared" si="4"/>
        <v>102</v>
      </c>
      <c r="E28" s="20">
        <f t="shared" si="4"/>
        <v>93</v>
      </c>
      <c r="F28" s="20">
        <f t="shared" si="4"/>
        <v>98</v>
      </c>
      <c r="G28" s="20">
        <f t="shared" si="4"/>
        <v>118</v>
      </c>
      <c r="H28" s="20">
        <f t="shared" si="4"/>
        <v>39</v>
      </c>
      <c r="I28" s="20">
        <f t="shared" si="4"/>
        <v>113</v>
      </c>
      <c r="J28" s="21">
        <f t="shared" si="4"/>
        <v>214</v>
      </c>
    </row>
    <row r="29" spans="1:10" ht="15">
      <c r="A29" s="6" t="str">
        <f>_xlfn.CUBEMEMBER("walle RP2012","[Individus].[Age décennal].[Age décennal 80].&amp;[8]")</f>
        <v>80 ans et plus</v>
      </c>
      <c r="B29" s="20">
        <f t="shared" si="5"/>
        <v>342</v>
      </c>
      <c r="C29" s="20">
        <f t="shared" si="5"/>
        <v>65</v>
      </c>
      <c r="D29" s="20">
        <f t="shared" si="4"/>
        <v>63</v>
      </c>
      <c r="E29" s="20">
        <f t="shared" si="4"/>
        <v>43</v>
      </c>
      <c r="F29" s="20">
        <f t="shared" si="4"/>
        <v>23</v>
      </c>
      <c r="G29" s="20">
        <f t="shared" si="4"/>
        <v>45</v>
      </c>
      <c r="H29" s="20">
        <f t="shared" si="4"/>
        <v>13</v>
      </c>
      <c r="I29" s="20">
        <f t="shared" si="4"/>
        <v>31</v>
      </c>
      <c r="J29" s="21">
        <f t="shared" si="4"/>
        <v>59</v>
      </c>
    </row>
    <row r="30" spans="1:10" ht="15">
      <c r="A30" s="17" t="str">
        <f>_xlfn.CUBEMEMBER("walle RP2012","[Individus].[Lieu de naissance].[Lieu De Naissance 1].&amp;[5000]")</f>
        <v>Etranger</v>
      </c>
      <c r="B30" s="18">
        <f aca="true" t="shared" si="6" ref="B30:F38">_xlfn.CUBEVALUE("walle RP2012",$A$2,$A30,B$2)</f>
        <v>4144</v>
      </c>
      <c r="C30" s="18">
        <f t="shared" si="6"/>
        <v>592</v>
      </c>
      <c r="D30" s="18">
        <f t="shared" si="6"/>
        <v>174</v>
      </c>
      <c r="E30" s="18">
        <f t="shared" si="6"/>
        <v>347</v>
      </c>
      <c r="F30" s="18">
        <f t="shared" si="6"/>
        <v>387</v>
      </c>
      <c r="G30" s="18">
        <f aca="true" t="shared" si="7" ref="G30:J37">_xlfn.CUBEVALUE("walle RP2012",$A$2,$A30,G$2)</f>
        <v>639</v>
      </c>
      <c r="H30" s="18">
        <f t="shared" si="7"/>
        <v>270</v>
      </c>
      <c r="I30" s="18">
        <f t="shared" si="7"/>
        <v>747</v>
      </c>
      <c r="J30" s="19">
        <f t="shared" si="7"/>
        <v>988</v>
      </c>
    </row>
    <row r="31" spans="1:10" ht="15">
      <c r="A31" s="6" t="str">
        <f>_xlfn.CUBEMEMBER("walle RP2012",{"[Individus].[Lieu de naissance].[Lieu De Naissance 1].&amp;[5000]","[Individus].[Age d?cennal].[Age d?cennal 80].&amp;[1]"})</f>
        <v>10-19 ans</v>
      </c>
      <c r="B31" s="20">
        <f t="shared" si="6"/>
        <v>124</v>
      </c>
      <c r="C31" s="20">
        <f t="shared" si="6"/>
        <v>14</v>
      </c>
      <c r="D31" s="20">
        <f t="shared" si="6"/>
        <v>2</v>
      </c>
      <c r="E31" s="20">
        <f t="shared" si="6"/>
        <v>75</v>
      </c>
      <c r="F31" s="20">
        <f t="shared" si="6"/>
        <v>5</v>
      </c>
      <c r="G31" s="20">
        <f t="shared" si="7"/>
        <v>22</v>
      </c>
      <c r="H31" s="20">
        <f t="shared" si="7"/>
        <v>6</v>
      </c>
      <c r="I31" s="20">
        <f t="shared" si="7"/>
      </c>
      <c r="J31" s="21">
        <f t="shared" si="7"/>
      </c>
    </row>
    <row r="32" spans="1:10" ht="15">
      <c r="A32" s="6" t="str">
        <f>_xlfn.CUBEMEMBER("walle RP2012",{"[Individus].[Lieu de naissance].[Lieu De Naissance 1].&amp;[5000]","[Individus].[Age d?cennal].[Age d?cennal 80].&amp;[2]"})</f>
        <v>20-29 ans</v>
      </c>
      <c r="B32" s="20">
        <f t="shared" si="6"/>
        <v>310</v>
      </c>
      <c r="C32" s="20">
        <f t="shared" si="6"/>
        <v>41</v>
      </c>
      <c r="D32" s="20">
        <f t="shared" si="6"/>
        <v>11</v>
      </c>
      <c r="E32" s="20">
        <f t="shared" si="6"/>
        <v>17</v>
      </c>
      <c r="F32" s="20">
        <f t="shared" si="6"/>
        <v>25</v>
      </c>
      <c r="G32" s="20">
        <f t="shared" si="7"/>
        <v>90</v>
      </c>
      <c r="H32" s="20">
        <f t="shared" si="7"/>
        <v>38</v>
      </c>
      <c r="I32" s="20">
        <f t="shared" si="7"/>
        <v>49</v>
      </c>
      <c r="J32" s="21">
        <f t="shared" si="7"/>
        <v>39</v>
      </c>
    </row>
    <row r="33" spans="1:10" ht="15">
      <c r="A33" s="6" t="str">
        <f>_xlfn.CUBEMEMBER("walle RP2012",{"[Individus].[Lieu de naissance].[Lieu De Naissance 1].&amp;[5000]","[Individus].[Age d?cennal].[Age d?cennal 80].&amp;[3]"})</f>
        <v>30-39 ans</v>
      </c>
      <c r="B33" s="20">
        <f t="shared" si="6"/>
        <v>775</v>
      </c>
      <c r="C33" s="20">
        <f t="shared" si="6"/>
        <v>87</v>
      </c>
      <c r="D33" s="20">
        <f t="shared" si="6"/>
        <v>21</v>
      </c>
      <c r="E33" s="20">
        <f t="shared" si="6"/>
        <v>44</v>
      </c>
      <c r="F33" s="20">
        <f t="shared" si="6"/>
        <v>74</v>
      </c>
      <c r="G33" s="20">
        <f t="shared" si="7"/>
        <v>111</v>
      </c>
      <c r="H33" s="20">
        <f t="shared" si="7"/>
        <v>50</v>
      </c>
      <c r="I33" s="20">
        <f t="shared" si="7"/>
        <v>190</v>
      </c>
      <c r="J33" s="21">
        <f t="shared" si="7"/>
        <v>198</v>
      </c>
    </row>
    <row r="34" spans="1:10" ht="15">
      <c r="A34" s="6" t="str">
        <f>_xlfn.CUBEMEMBER("walle RP2012",{"[Individus].[Lieu de naissance].[Lieu De Naissance 1].&amp;[5000]","[Individus].[Age d?cennal].[Age d?cennal 80].&amp;[4]"})</f>
        <v>40-49 ans</v>
      </c>
      <c r="B34" s="20">
        <f t="shared" si="6"/>
        <v>908</v>
      </c>
      <c r="C34" s="20">
        <f t="shared" si="6"/>
        <v>135</v>
      </c>
      <c r="D34" s="20">
        <f t="shared" si="6"/>
        <v>31</v>
      </c>
      <c r="E34" s="20">
        <f t="shared" si="6"/>
        <v>49</v>
      </c>
      <c r="F34" s="20">
        <f t="shared" si="6"/>
        <v>88</v>
      </c>
      <c r="G34" s="20">
        <f t="shared" si="7"/>
        <v>139</v>
      </c>
      <c r="H34" s="20">
        <f t="shared" si="7"/>
        <v>55</v>
      </c>
      <c r="I34" s="20">
        <f t="shared" si="7"/>
        <v>182</v>
      </c>
      <c r="J34" s="21">
        <f t="shared" si="7"/>
        <v>229</v>
      </c>
    </row>
    <row r="35" spans="1:10" ht="15">
      <c r="A35" s="6" t="str">
        <f>_xlfn.CUBEMEMBER("walle RP2012",{"[Individus].[Lieu de naissance].[Lieu De Naissance 1].&amp;[5000]","[Individus].[Age d?cennal].[Age d?cennal 80].&amp;[5]"})</f>
        <v>50-59 ans</v>
      </c>
      <c r="B35" s="20">
        <f t="shared" si="6"/>
        <v>992</v>
      </c>
      <c r="C35" s="20">
        <f t="shared" si="6"/>
        <v>111</v>
      </c>
      <c r="D35" s="20">
        <f t="shared" si="6"/>
        <v>40</v>
      </c>
      <c r="E35" s="20">
        <f t="shared" si="6"/>
        <v>57</v>
      </c>
      <c r="F35" s="20">
        <f t="shared" si="6"/>
        <v>111</v>
      </c>
      <c r="G35" s="20">
        <f t="shared" si="7"/>
        <v>130</v>
      </c>
      <c r="H35" s="20">
        <f t="shared" si="7"/>
        <v>62</v>
      </c>
      <c r="I35" s="20">
        <f t="shared" si="7"/>
        <v>180</v>
      </c>
      <c r="J35" s="21">
        <f t="shared" si="7"/>
        <v>301</v>
      </c>
    </row>
    <row r="36" spans="1:10" ht="15">
      <c r="A36" s="6" t="str">
        <f>_xlfn.CUBEMEMBER("walle RP2012",{"[Individus].[Lieu de naissance].[Lieu De Naissance 1].&amp;[5000]","[Individus].[Age d?cennal].[Age d?cennal 80].&amp;[6]"})</f>
        <v>60-69 ans</v>
      </c>
      <c r="B36" s="20">
        <f t="shared" si="6"/>
        <v>608</v>
      </c>
      <c r="C36" s="20">
        <f t="shared" si="6"/>
        <v>83</v>
      </c>
      <c r="D36" s="20">
        <f t="shared" si="6"/>
        <v>36</v>
      </c>
      <c r="E36" s="20">
        <f t="shared" si="6"/>
        <v>59</v>
      </c>
      <c r="F36" s="20">
        <f t="shared" si="6"/>
        <v>54</v>
      </c>
      <c r="G36" s="20">
        <f t="shared" si="7"/>
        <v>101</v>
      </c>
      <c r="H36" s="20">
        <f t="shared" si="7"/>
        <v>31</v>
      </c>
      <c r="I36" s="20">
        <f t="shared" si="7"/>
        <v>93</v>
      </c>
      <c r="J36" s="21">
        <f t="shared" si="7"/>
        <v>151</v>
      </c>
    </row>
    <row r="37" spans="1:10" ht="15">
      <c r="A37" s="6" t="str">
        <f>_xlfn.CUBEMEMBER("walle RP2012",{"[Individus].[Lieu de naissance].[Lieu De Naissance 1].&amp;[5000]","[Individus].[Age d?cennal].[Age d?cennal 80].&amp;[7]"})</f>
        <v>70-79 ans</v>
      </c>
      <c r="B37" s="20">
        <f t="shared" si="6"/>
        <v>331</v>
      </c>
      <c r="C37" s="20">
        <f t="shared" si="6"/>
        <v>81</v>
      </c>
      <c r="D37" s="20">
        <f t="shared" si="6"/>
        <v>23</v>
      </c>
      <c r="E37" s="20">
        <f t="shared" si="6"/>
        <v>37</v>
      </c>
      <c r="F37" s="20">
        <f t="shared" si="6"/>
        <v>25</v>
      </c>
      <c r="G37" s="20">
        <f t="shared" si="7"/>
        <v>39</v>
      </c>
      <c r="H37" s="20">
        <f t="shared" si="7"/>
        <v>23</v>
      </c>
      <c r="I37" s="20">
        <f t="shared" si="7"/>
        <v>43</v>
      </c>
      <c r="J37" s="21">
        <f t="shared" si="7"/>
        <v>60</v>
      </c>
    </row>
    <row r="38" spans="1:10" ht="15">
      <c r="A38" s="12" t="str">
        <f>_xlfn.CUBEMEMBER("walle RP2012",{"[Individus].[Lieu de naissance].[Lieu De Naissance 1].&amp;[5000]","[Individus].[Age d?cennal].[Age d?cennal 80].&amp;[8]"})</f>
        <v>80 ans et plus</v>
      </c>
      <c r="B38" s="22">
        <f t="shared" si="6"/>
        <v>96</v>
      </c>
      <c r="C38" s="22">
        <f t="shared" si="6"/>
        <v>40</v>
      </c>
      <c r="D38" s="22">
        <f t="shared" si="6"/>
        <v>10</v>
      </c>
      <c r="E38" s="22">
        <f t="shared" si="6"/>
        <v>9</v>
      </c>
      <c r="F38" s="22">
        <f t="shared" si="6"/>
        <v>5</v>
      </c>
      <c r="G38" s="22">
        <f>_xlfn.CUBEVALUE("walle RP2012",$A$2,$A38,G$2)</f>
        <v>7</v>
      </c>
      <c r="H38" s="22">
        <f>_xlfn.CUBEVALUE("walle RP2012",$A$2,$A38,H$2)</f>
        <v>5</v>
      </c>
      <c r="I38" s="22">
        <f>_xlfn.CUBEVALUE("walle RP2012",$A$2,$A38,I$2)</f>
        <v>10</v>
      </c>
      <c r="J38" s="23">
        <f>_xlfn.CUBEVALUE("walle RP2012",$A$2,$A38,J$2)</f>
        <v>10</v>
      </c>
    </row>
    <row r="39" spans="1:10" ht="15">
      <c r="A39" s="24"/>
      <c r="B39" s="25"/>
      <c r="C39" s="25"/>
      <c r="D39" s="25"/>
      <c r="E39" s="25"/>
      <c r="F39" s="25"/>
      <c r="G39" s="14"/>
      <c r="H39" s="14"/>
      <c r="I39" s="14"/>
      <c r="J39" s="10" t="s">
        <v>2</v>
      </c>
    </row>
    <row r="40" spans="1:10" ht="15">
      <c r="A40" s="24"/>
      <c r="B40" s="25"/>
      <c r="C40" s="25"/>
      <c r="D40" s="25"/>
      <c r="E40" s="25"/>
      <c r="F40" s="25"/>
      <c r="G40" s="14"/>
      <c r="H40" s="14"/>
      <c r="I40" s="14"/>
      <c r="J40" s="1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8"/>
  <sheetViews>
    <sheetView showGridLines="0" zoomScalePageLayoutView="0" workbookViewId="0" topLeftCell="A1">
      <selection activeCell="J3" sqref="J3"/>
    </sheetView>
  </sheetViews>
  <sheetFormatPr defaultColWidth="11.421875" defaultRowHeight="15"/>
  <cols>
    <col min="1" max="1" width="17.7109375" style="0" customWidth="1"/>
    <col min="2" max="2" width="7.8515625" style="0" customWidth="1"/>
    <col min="3" max="3" width="8.421875" style="0" customWidth="1"/>
    <col min="4" max="4" width="6.140625" style="0" customWidth="1"/>
    <col min="5" max="5" width="7.00390625" style="0" customWidth="1"/>
    <col min="6" max="6" width="8.8515625" style="0" customWidth="1"/>
    <col min="7" max="7" width="9.57421875" style="0" customWidth="1"/>
    <col min="8" max="8" width="10.421875" style="0" customWidth="1"/>
    <col min="9" max="9" width="9.7109375" style="0" customWidth="1"/>
    <col min="10" max="10" width="10.00390625" style="0" customWidth="1"/>
    <col min="11" max="11" width="12.57421875" style="0" bestFit="1" customWidth="1"/>
  </cols>
  <sheetData>
    <row r="1" spans="1:10" ht="48.75" customHeight="1">
      <c r="A1" s="55" t="s">
        <v>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33.75">
      <c r="A2" s="26" t="str">
        <f>_xlfn.CUBEMEMBER("walle RP2012","[Measures].[Individus de 15 ans et plus]","Subdivision et commune")</f>
        <v>Subdivision et commune</v>
      </c>
      <c r="B2" s="15" t="str">
        <f>_xlfn.CUBEMEMBER("walle RP2012","[Individus].[Dernier Diplôme Obtenu].[All]","Ensemble")</f>
        <v>Ensemble</v>
      </c>
      <c r="C2" s="15" t="str">
        <f>_xlfn.CUBEMEMBER("walle RP2012","[Individus].[Dernier Diplôme Obtenu].&amp;[0]")</f>
        <v>Aucun diplôme</v>
      </c>
      <c r="D2" s="15" t="str">
        <f>_xlfn.CUBEMEMBER("walle RP2012","[Individus].[Dernier Diplôme Obtenu].&amp;[1]")</f>
        <v>CEP</v>
      </c>
      <c r="E2" s="15" t="str">
        <f>_xlfn.CUBEMEMBER("walle RP2012","[Individus].[Dernier Diplôme Obtenu].&amp;[2]")</f>
        <v>BEPC</v>
      </c>
      <c r="F2" s="15" t="str">
        <f>_xlfn.CUBESET("walle RP2012","{[Individus].[Dernier Diplôme Obtenu].&amp;[3],[Individus].[Dernier Diplôme Obtenu].&amp;[4]}","CAP-BEP")</f>
        <v>CAP-BEP</v>
      </c>
      <c r="G2" s="15" t="str">
        <f>_xlfn.CUBEMEMBER("walle RP2012","[Individus].[Dernier Diplôme Obtenu].&amp;[5]")</f>
        <v>Bac général</v>
      </c>
      <c r="H2" s="15" t="str">
        <f>_xlfn.CUBEMEMBER("walle RP2012","[Individus].[Dernier Diplôme Obtenu].&amp;[6]")</f>
        <v>Bac technologique</v>
      </c>
      <c r="I2" s="15" t="str">
        <f>_xlfn.CUBEMEMBER("walle RP2012","[Individus].[Dernier Diplôme Obtenu].&amp;[7]")</f>
        <v>1er cycle Universitaire</v>
      </c>
      <c r="J2" s="16" t="str">
        <f>_xlfn.CUBEMEMBER("walle RP2012","[Individus].[Dernier Diplôme Obtenu].&amp;[8]","2e ou 3e cycle universitaire")</f>
        <v>2e ou 3e cycle universitaire</v>
      </c>
    </row>
    <row r="3" spans="1:10" ht="15">
      <c r="A3" s="17" t="str">
        <f>_xlfn.CUBEMEMBER("walle RP2012","[Individus].[Age quinquennal].[All]","Ensemble")</f>
        <v>Ensemble</v>
      </c>
      <c r="B3" s="18">
        <f aca="true" t="shared" si="0" ref="B3:J3">_xlfn.CUBEVALUE("walle RP2012",$A$2,$A3,B$2)</f>
        <v>202825</v>
      </c>
      <c r="C3" s="18">
        <f t="shared" si="0"/>
        <v>62927</v>
      </c>
      <c r="D3" s="18">
        <f t="shared" si="0"/>
        <v>21915</v>
      </c>
      <c r="E3" s="18">
        <f t="shared" si="0"/>
        <v>29117</v>
      </c>
      <c r="F3" s="18">
        <f t="shared" si="0"/>
        <v>34262</v>
      </c>
      <c r="G3" s="18">
        <f t="shared" si="0"/>
        <v>14970</v>
      </c>
      <c r="H3" s="18">
        <f t="shared" si="0"/>
        <v>14991</v>
      </c>
      <c r="I3" s="18">
        <f t="shared" si="0"/>
        <v>14519</v>
      </c>
      <c r="J3" s="19">
        <f t="shared" si="0"/>
        <v>10124</v>
      </c>
    </row>
    <row r="4" spans="1:19" s="34" customFormat="1" ht="11.25" customHeight="1">
      <c r="A4" s="6"/>
      <c r="B4" s="27"/>
      <c r="C4" s="27"/>
      <c r="D4" s="27"/>
      <c r="E4" s="27"/>
      <c r="F4" s="27"/>
      <c r="G4" s="27"/>
      <c r="H4" s="27"/>
      <c r="I4" s="27"/>
      <c r="J4" s="7"/>
      <c r="K4"/>
      <c r="L4"/>
      <c r="M4"/>
      <c r="N4"/>
      <c r="O4"/>
      <c r="P4"/>
      <c r="Q4"/>
      <c r="R4"/>
      <c r="S4"/>
    </row>
    <row r="5" spans="1:19" s="37" customFormat="1" ht="11.25" customHeight="1">
      <c r="A5" s="17" t="str">
        <f>_xlfn.CUBEMEMBER("walle RP2012","[Geographie].[Subdivision].&amp;[1]")</f>
        <v>Iles Du Vent</v>
      </c>
      <c r="B5" s="18">
        <f>_xlfn.CUBEVALUE("walle RP2012",$A$2,$A5,B$2)</f>
        <v>152789</v>
      </c>
      <c r="C5" s="18">
        <f aca="true" t="shared" si="1" ref="C5:J5">_xlfn.CUBEVALUE("walle RP2012",$A$2,$A5,C$2)</f>
        <v>41783</v>
      </c>
      <c r="D5" s="18">
        <f t="shared" si="1"/>
        <v>16059</v>
      </c>
      <c r="E5" s="18">
        <f t="shared" si="1"/>
        <v>22096</v>
      </c>
      <c r="F5" s="18">
        <f t="shared" si="1"/>
        <v>25980</v>
      </c>
      <c r="G5" s="18">
        <f t="shared" si="1"/>
        <v>12651</v>
      </c>
      <c r="H5" s="18">
        <f t="shared" si="1"/>
        <v>12456</v>
      </c>
      <c r="I5" s="18">
        <f t="shared" si="1"/>
        <v>12729</v>
      </c>
      <c r="J5" s="19">
        <f t="shared" si="1"/>
        <v>9035</v>
      </c>
      <c r="K5" s="35"/>
      <c r="L5" s="36"/>
      <c r="M5" s="36"/>
      <c r="N5" s="36"/>
      <c r="O5" s="36"/>
      <c r="P5" s="36"/>
      <c r="Q5" s="36"/>
      <c r="R5" s="36"/>
      <c r="S5" s="36"/>
    </row>
    <row r="6" spans="1:19" s="34" customFormat="1" ht="11.25" customHeight="1">
      <c r="A6" s="6" t="str">
        <f>_xlfn.CUBEMEMBER("walle RP2012",{"[Geographie].[Subdivision].&amp;[1]","[Geographie].[Commune].&amp;[12]"})</f>
        <v>Arue</v>
      </c>
      <c r="B6" s="28">
        <f>_xlfn.CUBEVALUE("walle RP2012",$A$2,$A6,B$2)</f>
        <v>7347</v>
      </c>
      <c r="C6" s="28">
        <f aca="true" t="shared" si="2" ref="B6:J57">_xlfn.CUBEVALUE("walle RP2012",$A$2,$A6,C$2)</f>
        <v>1425</v>
      </c>
      <c r="D6" s="28">
        <f t="shared" si="2"/>
        <v>743</v>
      </c>
      <c r="E6" s="28">
        <f t="shared" si="2"/>
        <v>1053</v>
      </c>
      <c r="F6" s="28">
        <f t="shared" si="2"/>
        <v>1208</v>
      </c>
      <c r="G6" s="28">
        <f t="shared" si="2"/>
        <v>744</v>
      </c>
      <c r="H6" s="28">
        <f t="shared" si="2"/>
        <v>658</v>
      </c>
      <c r="I6" s="28">
        <f t="shared" si="2"/>
        <v>895</v>
      </c>
      <c r="J6" s="29">
        <f t="shared" si="2"/>
        <v>621</v>
      </c>
      <c r="K6" s="38"/>
      <c r="L6" s="39"/>
      <c r="M6" s="39"/>
      <c r="N6" s="39"/>
      <c r="O6" s="39"/>
      <c r="P6" s="39"/>
      <c r="Q6" s="39"/>
      <c r="R6" s="39"/>
      <c r="S6" s="39"/>
    </row>
    <row r="7" spans="1:19" s="34" customFormat="1" ht="11.25" customHeight="1">
      <c r="A7" s="6" t="str">
        <f>_xlfn.CUBEMEMBER("walle RP2012",{"[Geographie].[Subdivision].&amp;[1]","[Geographie].[Commune].&amp;[15]"})</f>
        <v>Faaa</v>
      </c>
      <c r="B7" s="28">
        <f t="shared" si="2"/>
        <v>22586</v>
      </c>
      <c r="C7" s="28">
        <f t="shared" si="2"/>
        <v>6526</v>
      </c>
      <c r="D7" s="28">
        <f t="shared" si="2"/>
        <v>2284</v>
      </c>
      <c r="E7" s="28">
        <f t="shared" si="2"/>
        <v>3186</v>
      </c>
      <c r="F7" s="28">
        <f t="shared" si="2"/>
        <v>3703</v>
      </c>
      <c r="G7" s="28">
        <f t="shared" si="2"/>
        <v>1808</v>
      </c>
      <c r="H7" s="28">
        <f t="shared" si="2"/>
        <v>2058</v>
      </c>
      <c r="I7" s="28">
        <f t="shared" si="2"/>
        <v>1770</v>
      </c>
      <c r="J7" s="29">
        <f t="shared" si="2"/>
        <v>1251</v>
      </c>
      <c r="K7" s="38"/>
      <c r="L7" s="39"/>
      <c r="M7" s="39"/>
      <c r="N7" s="39"/>
      <c r="O7" s="39"/>
      <c r="P7" s="39"/>
      <c r="Q7" s="39"/>
      <c r="R7" s="39"/>
      <c r="S7" s="39"/>
    </row>
    <row r="8" spans="1:19" s="34" customFormat="1" ht="11.25" customHeight="1">
      <c r="A8" s="6" t="str">
        <f>_xlfn.CUBEMEMBER("walle RP2012",{"[Geographie].[Subdivision].&amp;[1]","[Geographie].[Commune].&amp;[22]"})</f>
        <v>Hitiaa O Te Ra</v>
      </c>
      <c r="B8" s="28">
        <f t="shared" si="2"/>
        <v>7152</v>
      </c>
      <c r="C8" s="28">
        <f t="shared" si="2"/>
        <v>2519</v>
      </c>
      <c r="D8" s="28">
        <f t="shared" si="2"/>
        <v>1010</v>
      </c>
      <c r="E8" s="28">
        <f t="shared" si="2"/>
        <v>1045</v>
      </c>
      <c r="F8" s="28">
        <f t="shared" si="2"/>
        <v>1347</v>
      </c>
      <c r="G8" s="28">
        <f t="shared" si="2"/>
        <v>435</v>
      </c>
      <c r="H8" s="28">
        <f t="shared" si="2"/>
        <v>488</v>
      </c>
      <c r="I8" s="28">
        <f t="shared" si="2"/>
        <v>213</v>
      </c>
      <c r="J8" s="29">
        <f t="shared" si="2"/>
        <v>95</v>
      </c>
      <c r="K8" s="38"/>
      <c r="L8" s="39"/>
      <c r="M8" s="39"/>
      <c r="N8" s="39"/>
      <c r="O8" s="39"/>
      <c r="P8" s="39"/>
      <c r="Q8" s="39"/>
      <c r="R8" s="39"/>
      <c r="S8" s="39"/>
    </row>
    <row r="9" spans="1:19" s="34" customFormat="1" ht="11.25" customHeight="1">
      <c r="A9" s="6" t="str">
        <f>_xlfn.CUBEMEMBER("walle RP2012",{"[Geographie].[Subdivision].&amp;[1]","[Geographie].[Commune].&amp;[25]"})</f>
        <v>Mahina</v>
      </c>
      <c r="B9" s="28">
        <f t="shared" si="2"/>
        <v>10845</v>
      </c>
      <c r="C9" s="28">
        <f t="shared" si="2"/>
        <v>2401</v>
      </c>
      <c r="D9" s="28">
        <f t="shared" si="2"/>
        <v>1080</v>
      </c>
      <c r="E9" s="28">
        <f t="shared" si="2"/>
        <v>1709</v>
      </c>
      <c r="F9" s="28">
        <f t="shared" si="2"/>
        <v>1880</v>
      </c>
      <c r="G9" s="28">
        <f t="shared" si="2"/>
        <v>1085</v>
      </c>
      <c r="H9" s="28">
        <f t="shared" si="2"/>
        <v>927</v>
      </c>
      <c r="I9" s="28">
        <f t="shared" si="2"/>
        <v>1102</v>
      </c>
      <c r="J9" s="29">
        <f t="shared" si="2"/>
        <v>661</v>
      </c>
      <c r="K9" s="38"/>
      <c r="L9" s="39"/>
      <c r="M9" s="39"/>
      <c r="N9" s="39"/>
      <c r="O9" s="39"/>
      <c r="P9" s="39"/>
      <c r="Q9" s="39"/>
      <c r="R9" s="39"/>
      <c r="S9" s="39"/>
    </row>
    <row r="10" spans="1:19" s="34" customFormat="1" ht="11.25" customHeight="1">
      <c r="A10" s="6" t="str">
        <f>_xlfn.CUBEMEMBER("walle RP2012",{"[Geographie].[Subdivision].&amp;[1]","[Geographie].[Commune].&amp;[29]"})</f>
        <v>Moorea-Maiao</v>
      </c>
      <c r="B10" s="28">
        <f t="shared" si="2"/>
        <v>12936</v>
      </c>
      <c r="C10" s="28">
        <f t="shared" si="2"/>
        <v>4345</v>
      </c>
      <c r="D10" s="28">
        <f t="shared" si="2"/>
        <v>1503</v>
      </c>
      <c r="E10" s="28">
        <f t="shared" si="2"/>
        <v>1992</v>
      </c>
      <c r="F10" s="28">
        <f t="shared" si="2"/>
        <v>2199</v>
      </c>
      <c r="G10" s="28">
        <f t="shared" si="2"/>
        <v>789</v>
      </c>
      <c r="H10" s="28">
        <f t="shared" si="2"/>
        <v>759</v>
      </c>
      <c r="I10" s="28">
        <f t="shared" si="2"/>
        <v>807</v>
      </c>
      <c r="J10" s="29">
        <f t="shared" si="2"/>
        <v>542</v>
      </c>
      <c r="K10" s="38"/>
      <c r="L10" s="39"/>
      <c r="M10" s="39"/>
      <c r="N10" s="39"/>
      <c r="O10" s="39"/>
      <c r="P10" s="39"/>
      <c r="Q10" s="39"/>
      <c r="R10" s="39"/>
      <c r="S10" s="39"/>
    </row>
    <row r="11" spans="1:19" s="34" customFormat="1" ht="11.25" customHeight="1">
      <c r="A11" s="6" t="str">
        <f>_xlfn.CUBEMEMBER("walle RP2012",{"[Geographie].[Subdivision].&amp;[1]","[Geographie].[Commune].&amp;[33]"})</f>
        <v>Paea</v>
      </c>
      <c r="B11" s="28">
        <f t="shared" si="2"/>
        <v>9431</v>
      </c>
      <c r="C11" s="28">
        <f t="shared" si="2"/>
        <v>2638</v>
      </c>
      <c r="D11" s="28">
        <f t="shared" si="2"/>
        <v>1066</v>
      </c>
      <c r="E11" s="28">
        <f t="shared" si="2"/>
        <v>1414</v>
      </c>
      <c r="F11" s="28">
        <f t="shared" si="2"/>
        <v>1758</v>
      </c>
      <c r="G11" s="28">
        <f t="shared" si="2"/>
        <v>818</v>
      </c>
      <c r="H11" s="28">
        <f t="shared" si="2"/>
        <v>853</v>
      </c>
      <c r="I11" s="28">
        <f t="shared" si="2"/>
        <v>606</v>
      </c>
      <c r="J11" s="29">
        <f t="shared" si="2"/>
        <v>278</v>
      </c>
      <c r="K11" s="38"/>
      <c r="L11" s="39"/>
      <c r="M11" s="39"/>
      <c r="N11" s="39"/>
      <c r="O11" s="39"/>
      <c r="P11" s="39"/>
      <c r="Q11" s="39"/>
      <c r="R11" s="39"/>
      <c r="S11" s="39"/>
    </row>
    <row r="12" spans="1:19" s="34" customFormat="1" ht="11.25" customHeight="1">
      <c r="A12" s="6" t="str">
        <f>_xlfn.CUBEMEMBER("walle RP2012",{"[Geographie].[Subdivision].&amp;[1]","[Geographie].[Commune].&amp;[34]"})</f>
        <v>Papara</v>
      </c>
      <c r="B12" s="28">
        <f t="shared" si="2"/>
        <v>8311</v>
      </c>
      <c r="C12" s="28">
        <f t="shared" si="2"/>
        <v>2742</v>
      </c>
      <c r="D12" s="28">
        <f t="shared" si="2"/>
        <v>888</v>
      </c>
      <c r="E12" s="28">
        <f t="shared" si="2"/>
        <v>1259</v>
      </c>
      <c r="F12" s="28">
        <f t="shared" si="2"/>
        <v>1550</v>
      </c>
      <c r="G12" s="28">
        <f t="shared" si="2"/>
        <v>551</v>
      </c>
      <c r="H12" s="28">
        <f t="shared" si="2"/>
        <v>632</v>
      </c>
      <c r="I12" s="28">
        <f t="shared" si="2"/>
        <v>478</v>
      </c>
      <c r="J12" s="29">
        <f t="shared" si="2"/>
        <v>211</v>
      </c>
      <c r="K12" s="38"/>
      <c r="L12" s="39"/>
      <c r="M12" s="39"/>
      <c r="N12" s="39"/>
      <c r="O12" s="39"/>
      <c r="P12" s="39"/>
      <c r="Q12" s="39"/>
      <c r="R12" s="39"/>
      <c r="S12" s="39"/>
    </row>
    <row r="13" spans="1:19" s="34" customFormat="1" ht="11.25" customHeight="1">
      <c r="A13" s="6" t="str">
        <f>_xlfn.CUBEMEMBER("walle RP2012",{"[Geographie].[Subdivision].&amp;[1]","[Geographie].[Commune].&amp;[35]"})</f>
        <v>Papeete</v>
      </c>
      <c r="B13" s="28">
        <f t="shared" si="2"/>
        <v>19953</v>
      </c>
      <c r="C13" s="28">
        <f t="shared" si="2"/>
        <v>5472</v>
      </c>
      <c r="D13" s="28">
        <f t="shared" si="2"/>
        <v>2019</v>
      </c>
      <c r="E13" s="28">
        <f t="shared" si="2"/>
        <v>2852</v>
      </c>
      <c r="F13" s="28">
        <f t="shared" si="2"/>
        <v>3235</v>
      </c>
      <c r="G13" s="28">
        <f t="shared" si="2"/>
        <v>1815</v>
      </c>
      <c r="H13" s="28">
        <f t="shared" si="2"/>
        <v>1611</v>
      </c>
      <c r="I13" s="28">
        <f t="shared" si="2"/>
        <v>1672</v>
      </c>
      <c r="J13" s="29">
        <f t="shared" si="2"/>
        <v>1277</v>
      </c>
      <c r="K13" s="38"/>
      <c r="L13" s="39"/>
      <c r="M13" s="39"/>
      <c r="N13" s="39"/>
      <c r="O13" s="39"/>
      <c r="P13" s="39"/>
      <c r="Q13" s="39"/>
      <c r="R13" s="39"/>
      <c r="S13" s="39"/>
    </row>
    <row r="14" spans="1:19" s="34" customFormat="1" ht="11.25" customHeight="1">
      <c r="A14" s="6" t="str">
        <f>_xlfn.CUBEMEMBER("walle RP2012",{"[Geographie].[Subdivision].&amp;[1]","[Geographie].[Commune].&amp;[36]"})</f>
        <v>Pirae</v>
      </c>
      <c r="B14" s="28">
        <f t="shared" si="2"/>
        <v>10976</v>
      </c>
      <c r="C14" s="28">
        <f t="shared" si="2"/>
        <v>2501</v>
      </c>
      <c r="D14" s="28">
        <f t="shared" si="2"/>
        <v>1022</v>
      </c>
      <c r="E14" s="28">
        <f t="shared" si="2"/>
        <v>1604</v>
      </c>
      <c r="F14" s="28">
        <f t="shared" si="2"/>
        <v>1640</v>
      </c>
      <c r="G14" s="28">
        <f t="shared" si="2"/>
        <v>959</v>
      </c>
      <c r="H14" s="28">
        <f t="shared" si="2"/>
        <v>1022</v>
      </c>
      <c r="I14" s="28">
        <f t="shared" si="2"/>
        <v>1227</v>
      </c>
      <c r="J14" s="29">
        <f t="shared" si="2"/>
        <v>1001</v>
      </c>
      <c r="K14" s="38"/>
      <c r="L14" s="39"/>
      <c r="M14" s="39"/>
      <c r="N14" s="39"/>
      <c r="O14" s="39"/>
      <c r="P14" s="39"/>
      <c r="Q14" s="39"/>
      <c r="R14" s="39"/>
      <c r="S14" s="39"/>
    </row>
    <row r="15" spans="1:19" s="34" customFormat="1" ht="11.25" customHeight="1">
      <c r="A15" s="6" t="str">
        <f>_xlfn.CUBEMEMBER("walle RP2012",{"[Geographie].[Subdivision].&amp;[1]","[Geographie].[Commune].&amp;[38]"})</f>
        <v>Punaauia</v>
      </c>
      <c r="B15" s="30">
        <f t="shared" si="2"/>
        <v>21394</v>
      </c>
      <c r="C15" s="30">
        <f t="shared" si="2"/>
        <v>3854</v>
      </c>
      <c r="D15" s="30">
        <f t="shared" si="2"/>
        <v>1752</v>
      </c>
      <c r="E15" s="30">
        <f t="shared" si="2"/>
        <v>2880</v>
      </c>
      <c r="F15" s="30">
        <f t="shared" si="2"/>
        <v>3223</v>
      </c>
      <c r="G15" s="30">
        <f t="shared" si="2"/>
        <v>2299</v>
      </c>
      <c r="H15" s="30">
        <f t="shared" si="2"/>
        <v>1887</v>
      </c>
      <c r="I15" s="30">
        <f t="shared" si="2"/>
        <v>2947</v>
      </c>
      <c r="J15" s="31">
        <f t="shared" si="2"/>
        <v>2552</v>
      </c>
      <c r="K15" s="38"/>
      <c r="L15" s="39"/>
      <c r="M15" s="39"/>
      <c r="N15" s="39"/>
      <c r="O15" s="39"/>
      <c r="P15" s="39"/>
      <c r="Q15" s="39"/>
      <c r="R15" s="39"/>
      <c r="S15" s="39"/>
    </row>
    <row r="16" spans="1:19" s="34" customFormat="1" ht="11.25" customHeight="1">
      <c r="A16" s="6" t="str">
        <f>_xlfn.CUBEMEMBER("walle RP2012",{"[Geographie].[Subdivision].&amp;[1]","[Geographie].[Commune].&amp;[47]"})</f>
        <v>Taiarapu-Est</v>
      </c>
      <c r="B16" s="28">
        <f t="shared" si="2"/>
        <v>9176</v>
      </c>
      <c r="C16" s="28">
        <f t="shared" si="2"/>
        <v>2837</v>
      </c>
      <c r="D16" s="28">
        <f t="shared" si="2"/>
        <v>1113</v>
      </c>
      <c r="E16" s="28">
        <f t="shared" si="2"/>
        <v>1402</v>
      </c>
      <c r="F16" s="28">
        <f t="shared" si="2"/>
        <v>1818</v>
      </c>
      <c r="G16" s="28">
        <f t="shared" si="2"/>
        <v>520</v>
      </c>
      <c r="H16" s="28">
        <f t="shared" si="2"/>
        <v>755</v>
      </c>
      <c r="I16" s="28">
        <f t="shared" si="2"/>
        <v>462</v>
      </c>
      <c r="J16" s="29">
        <f t="shared" si="2"/>
        <v>269</v>
      </c>
      <c r="K16" s="38"/>
      <c r="L16" s="39"/>
      <c r="M16" s="39"/>
      <c r="N16" s="39"/>
      <c r="O16" s="39"/>
      <c r="P16" s="39"/>
      <c r="Q16" s="39"/>
      <c r="R16" s="39"/>
      <c r="S16" s="39"/>
    </row>
    <row r="17" spans="1:19" s="34" customFormat="1" ht="11.25" customHeight="1">
      <c r="A17" s="6" t="str">
        <f>_xlfn.CUBEMEMBER("walle RP2012",{"[Geographie].[Subdivision].&amp;[1]","[Geographie].[Commune].&amp;[48]"})</f>
        <v>Taiarapu-Ouest</v>
      </c>
      <c r="B17" s="28">
        <f t="shared" si="2"/>
        <v>5731</v>
      </c>
      <c r="C17" s="28">
        <f t="shared" si="2"/>
        <v>2075</v>
      </c>
      <c r="D17" s="28">
        <f t="shared" si="2"/>
        <v>736</v>
      </c>
      <c r="E17" s="28">
        <f t="shared" si="2"/>
        <v>724</v>
      </c>
      <c r="F17" s="28">
        <f t="shared" si="2"/>
        <v>1070</v>
      </c>
      <c r="G17" s="28">
        <f t="shared" si="2"/>
        <v>299</v>
      </c>
      <c r="H17" s="28">
        <f t="shared" si="2"/>
        <v>388</v>
      </c>
      <c r="I17" s="28">
        <f t="shared" si="2"/>
        <v>271</v>
      </c>
      <c r="J17" s="29">
        <f t="shared" si="2"/>
        <v>168</v>
      </c>
      <c r="K17" s="38"/>
      <c r="L17" s="39"/>
      <c r="M17" s="39"/>
      <c r="N17" s="39"/>
      <c r="O17" s="39"/>
      <c r="P17" s="39"/>
      <c r="Q17" s="39"/>
      <c r="R17" s="39"/>
      <c r="S17" s="39"/>
    </row>
    <row r="18" spans="1:19" s="34" customFormat="1" ht="11.25" customHeight="1">
      <c r="A18" s="6" t="str">
        <f>_xlfn.CUBEMEMBER("walle RP2012",{"[Geographie].[Subdivision].&amp;[1]","[Geographie].[Commune].&amp;[52]"})</f>
        <v>Teva I Uta</v>
      </c>
      <c r="B18" s="28">
        <f t="shared" si="2"/>
        <v>6951</v>
      </c>
      <c r="C18" s="28">
        <f t="shared" si="2"/>
        <v>2448</v>
      </c>
      <c r="D18" s="28">
        <f t="shared" si="2"/>
        <v>843</v>
      </c>
      <c r="E18" s="28">
        <f t="shared" si="2"/>
        <v>976</v>
      </c>
      <c r="F18" s="28">
        <f t="shared" si="2"/>
        <v>1349</v>
      </c>
      <c r="G18" s="28">
        <f t="shared" si="2"/>
        <v>529</v>
      </c>
      <c r="H18" s="28">
        <f t="shared" si="2"/>
        <v>418</v>
      </c>
      <c r="I18" s="28">
        <f t="shared" si="2"/>
        <v>279</v>
      </c>
      <c r="J18" s="29">
        <f t="shared" si="2"/>
        <v>109</v>
      </c>
      <c r="K18" s="38"/>
      <c r="L18" s="39"/>
      <c r="M18" s="39"/>
      <c r="N18" s="39"/>
      <c r="O18" s="39"/>
      <c r="P18" s="39"/>
      <c r="Q18" s="39"/>
      <c r="R18" s="39"/>
      <c r="S18" s="39"/>
    </row>
    <row r="19" spans="1:19" s="37" customFormat="1" ht="11.25" customHeight="1">
      <c r="A19" s="17" t="str">
        <f>_xlfn.CUBEMEMBER("walle RP2012","[Geographie].[Subdivision].&amp;[2]")</f>
        <v>Iles Sous-Le-Vent</v>
      </c>
      <c r="B19" s="18">
        <f t="shared" si="2"/>
        <v>25908</v>
      </c>
      <c r="C19" s="18">
        <f t="shared" si="2"/>
        <v>10455</v>
      </c>
      <c r="D19" s="18">
        <f t="shared" si="2"/>
        <v>2676</v>
      </c>
      <c r="E19" s="18">
        <f t="shared" si="2"/>
        <v>3434</v>
      </c>
      <c r="F19" s="18">
        <f t="shared" si="2"/>
        <v>4855</v>
      </c>
      <c r="G19" s="18">
        <f t="shared" si="2"/>
        <v>1415</v>
      </c>
      <c r="H19" s="18">
        <f t="shared" si="2"/>
        <v>1348</v>
      </c>
      <c r="I19" s="18">
        <f t="shared" si="2"/>
        <v>1023</v>
      </c>
      <c r="J19" s="19">
        <f t="shared" si="2"/>
        <v>702</v>
      </c>
      <c r="K19" s="35"/>
      <c r="L19" s="36"/>
      <c r="M19" s="36"/>
      <c r="N19" s="36"/>
      <c r="O19" s="36"/>
      <c r="P19" s="36"/>
      <c r="Q19" s="36"/>
      <c r="R19" s="36"/>
      <c r="S19" s="36"/>
    </row>
    <row r="20" spans="1:19" s="34" customFormat="1" ht="11.25" customHeight="1">
      <c r="A20" s="6" t="str">
        <f>_xlfn.CUBEMEMBER("walle RP2012",{"[Geographie].[Subdivision].&amp;[2]","[Geographie].[Commune].&amp;[14]"})</f>
        <v>Bora Bora</v>
      </c>
      <c r="B20" s="28">
        <f t="shared" si="2"/>
        <v>7000</v>
      </c>
      <c r="C20" s="28">
        <f t="shared" si="2"/>
        <v>2882</v>
      </c>
      <c r="D20" s="28">
        <f t="shared" si="2"/>
        <v>518</v>
      </c>
      <c r="E20" s="28">
        <f t="shared" si="2"/>
        <v>923</v>
      </c>
      <c r="F20" s="28">
        <f t="shared" si="2"/>
        <v>1342</v>
      </c>
      <c r="G20" s="28">
        <f t="shared" si="2"/>
        <v>409</v>
      </c>
      <c r="H20" s="28">
        <f t="shared" si="2"/>
        <v>403</v>
      </c>
      <c r="I20" s="28">
        <f t="shared" si="2"/>
        <v>322</v>
      </c>
      <c r="J20" s="29">
        <f t="shared" si="2"/>
        <v>201</v>
      </c>
      <c r="K20" s="38"/>
      <c r="L20" s="39"/>
      <c r="M20" s="39"/>
      <c r="N20" s="39"/>
      <c r="O20" s="39"/>
      <c r="P20" s="39"/>
      <c r="Q20" s="39"/>
      <c r="R20" s="39"/>
      <c r="S20" s="39"/>
    </row>
    <row r="21" spans="1:19" s="34" customFormat="1" ht="11.25" customHeight="1">
      <c r="A21" s="6" t="str">
        <f>_xlfn.CUBEMEMBER("walle RP2012",{"[Geographie].[Subdivision].&amp;[2]","[Geographie].[Commune].&amp;[24]"})</f>
        <v>Huahine</v>
      </c>
      <c r="B21" s="28">
        <f t="shared" si="2"/>
        <v>4706</v>
      </c>
      <c r="C21" s="28">
        <f t="shared" si="2"/>
        <v>2100</v>
      </c>
      <c r="D21" s="28">
        <f t="shared" si="2"/>
        <v>725</v>
      </c>
      <c r="E21" s="28">
        <f t="shared" si="2"/>
        <v>603</v>
      </c>
      <c r="F21" s="28">
        <f t="shared" si="2"/>
        <v>651</v>
      </c>
      <c r="G21" s="28">
        <f t="shared" si="2"/>
        <v>197</v>
      </c>
      <c r="H21" s="28">
        <f t="shared" si="2"/>
        <v>220</v>
      </c>
      <c r="I21" s="28">
        <f t="shared" si="2"/>
        <v>128</v>
      </c>
      <c r="J21" s="29">
        <f t="shared" si="2"/>
        <v>82</v>
      </c>
      <c r="K21" s="38"/>
      <c r="L21" s="39"/>
      <c r="M21" s="39"/>
      <c r="N21" s="39"/>
      <c r="O21" s="39"/>
      <c r="P21" s="39"/>
      <c r="Q21" s="39"/>
      <c r="R21" s="39"/>
      <c r="S21" s="39"/>
    </row>
    <row r="22" spans="1:19" s="34" customFormat="1" ht="11.25" customHeight="1">
      <c r="A22" s="6" t="str">
        <f>_xlfn.CUBEMEMBER("walle RP2012",{"[Geographie].[Subdivision].&amp;[2]","[Geographie].[Commune].&amp;[28]"})</f>
        <v>Maupiti</v>
      </c>
      <c r="B22" s="28">
        <f t="shared" si="2"/>
        <v>950</v>
      </c>
      <c r="C22" s="28">
        <f t="shared" si="2"/>
        <v>518</v>
      </c>
      <c r="D22" s="28">
        <f t="shared" si="2"/>
        <v>97</v>
      </c>
      <c r="E22" s="28">
        <f t="shared" si="2"/>
        <v>113</v>
      </c>
      <c r="F22" s="28">
        <f t="shared" si="2"/>
        <v>140</v>
      </c>
      <c r="G22" s="28">
        <f t="shared" si="2"/>
        <v>31</v>
      </c>
      <c r="H22" s="28">
        <f t="shared" si="2"/>
        <v>28</v>
      </c>
      <c r="I22" s="28">
        <f t="shared" si="2"/>
        <v>15</v>
      </c>
      <c r="J22" s="29">
        <f t="shared" si="2"/>
        <v>8</v>
      </c>
      <c r="K22" s="38"/>
      <c r="L22" s="39"/>
      <c r="M22" s="39"/>
      <c r="N22" s="39"/>
      <c r="O22" s="39"/>
      <c r="P22" s="39"/>
      <c r="Q22" s="39"/>
      <c r="R22" s="39"/>
      <c r="S22" s="39"/>
    </row>
    <row r="23" spans="1:19" s="34" customFormat="1" ht="11.25" customHeight="1">
      <c r="A23" s="6" t="str">
        <f>_xlfn.CUBEMEMBER("walle RP2012",{"[Geographie].[Subdivision].&amp;[2]","[Geographie].[Commune].&amp;[45]"})</f>
        <v>Tahaa</v>
      </c>
      <c r="B23" s="28">
        <f t="shared" si="2"/>
        <v>3879</v>
      </c>
      <c r="C23" s="28">
        <f t="shared" si="2"/>
        <v>1716</v>
      </c>
      <c r="D23" s="28">
        <f t="shared" si="2"/>
        <v>436</v>
      </c>
      <c r="E23" s="28">
        <f t="shared" si="2"/>
        <v>516</v>
      </c>
      <c r="F23" s="28">
        <f t="shared" si="2"/>
        <v>773</v>
      </c>
      <c r="G23" s="28">
        <f t="shared" si="2"/>
        <v>134</v>
      </c>
      <c r="H23" s="28">
        <f t="shared" si="2"/>
        <v>154</v>
      </c>
      <c r="I23" s="28">
        <f t="shared" si="2"/>
        <v>91</v>
      </c>
      <c r="J23" s="29">
        <f t="shared" si="2"/>
        <v>59</v>
      </c>
      <c r="K23" s="38"/>
      <c r="L23" s="39"/>
      <c r="M23" s="39"/>
      <c r="N23" s="39"/>
      <c r="O23" s="39"/>
      <c r="P23" s="39"/>
      <c r="Q23" s="39"/>
      <c r="R23" s="39"/>
      <c r="S23" s="39"/>
    </row>
    <row r="24" spans="1:19" s="34" customFormat="1" ht="11.25" customHeight="1">
      <c r="A24" s="6" t="str">
        <f>_xlfn.CUBEMEMBER("walle RP2012",{"[Geographie].[Subdivision].&amp;[2]","[Geographie].[Commune].&amp;[50]"})</f>
        <v>Taputapuatea</v>
      </c>
      <c r="B24" s="28">
        <f t="shared" si="2"/>
        <v>3642</v>
      </c>
      <c r="C24" s="28">
        <f t="shared" si="2"/>
        <v>1416</v>
      </c>
      <c r="D24" s="28">
        <f t="shared" si="2"/>
        <v>339</v>
      </c>
      <c r="E24" s="28">
        <f t="shared" si="2"/>
        <v>496</v>
      </c>
      <c r="F24" s="28">
        <f t="shared" si="2"/>
        <v>688</v>
      </c>
      <c r="G24" s="28">
        <f t="shared" si="2"/>
        <v>255</v>
      </c>
      <c r="H24" s="28">
        <f t="shared" si="2"/>
        <v>167</v>
      </c>
      <c r="I24" s="28">
        <f t="shared" si="2"/>
        <v>155</v>
      </c>
      <c r="J24" s="29">
        <f t="shared" si="2"/>
        <v>126</v>
      </c>
      <c r="K24" s="38"/>
      <c r="L24" s="39"/>
      <c r="M24" s="39"/>
      <c r="N24" s="39"/>
      <c r="O24" s="39"/>
      <c r="P24" s="39"/>
      <c r="Q24" s="39"/>
      <c r="R24" s="39"/>
      <c r="S24" s="39"/>
    </row>
    <row r="25" spans="1:19" s="34" customFormat="1" ht="11.25" customHeight="1">
      <c r="A25" s="6" t="str">
        <f>_xlfn.CUBEMEMBER("walle RP2012",{"[Geographie].[Subdivision].&amp;[2]","[Geographie].[Commune].&amp;[54]"})</f>
        <v>Tumaraa</v>
      </c>
      <c r="B25" s="30">
        <f t="shared" si="2"/>
        <v>2849</v>
      </c>
      <c r="C25" s="30">
        <f t="shared" si="2"/>
        <v>1143</v>
      </c>
      <c r="D25" s="30">
        <f t="shared" si="2"/>
        <v>268</v>
      </c>
      <c r="E25" s="30">
        <f t="shared" si="2"/>
        <v>351</v>
      </c>
      <c r="F25" s="30">
        <f t="shared" si="2"/>
        <v>569</v>
      </c>
      <c r="G25" s="30">
        <f t="shared" si="2"/>
        <v>178</v>
      </c>
      <c r="H25" s="30">
        <f t="shared" si="2"/>
        <v>118</v>
      </c>
      <c r="I25" s="30">
        <f t="shared" si="2"/>
        <v>143</v>
      </c>
      <c r="J25" s="31">
        <f t="shared" si="2"/>
        <v>79</v>
      </c>
      <c r="K25" s="38"/>
      <c r="L25" s="39"/>
      <c r="M25" s="39"/>
      <c r="N25" s="39"/>
      <c r="O25" s="39"/>
      <c r="P25" s="39"/>
      <c r="Q25" s="39"/>
      <c r="R25" s="39"/>
      <c r="S25" s="39"/>
    </row>
    <row r="26" spans="1:19" s="34" customFormat="1" ht="11.25" customHeight="1">
      <c r="A26" s="6" t="str">
        <f>_xlfn.CUBEMEMBER("walle RP2012",{"[Geographie].[Subdivision].&amp;[2]","[Geographie].[Commune].&amp;[58]"})</f>
        <v>Uturoa</v>
      </c>
      <c r="B26" s="28">
        <f t="shared" si="2"/>
        <v>2882</v>
      </c>
      <c r="C26" s="28">
        <f t="shared" si="2"/>
        <v>680</v>
      </c>
      <c r="D26" s="28">
        <f t="shared" si="2"/>
        <v>293</v>
      </c>
      <c r="E26" s="28">
        <f t="shared" si="2"/>
        <v>432</v>
      </c>
      <c r="F26" s="28">
        <f t="shared" si="2"/>
        <v>692</v>
      </c>
      <c r="G26" s="28">
        <f t="shared" si="2"/>
        <v>211</v>
      </c>
      <c r="H26" s="28">
        <f t="shared" si="2"/>
        <v>258</v>
      </c>
      <c r="I26" s="28">
        <f t="shared" si="2"/>
        <v>169</v>
      </c>
      <c r="J26" s="29">
        <f t="shared" si="2"/>
        <v>147</v>
      </c>
      <c r="K26" s="38"/>
      <c r="L26" s="39"/>
      <c r="M26" s="39"/>
      <c r="N26" s="39"/>
      <c r="O26" s="39"/>
      <c r="P26" s="39"/>
      <c r="Q26" s="39"/>
      <c r="R26" s="39"/>
      <c r="S26" s="39"/>
    </row>
    <row r="27" spans="1:19" s="37" customFormat="1" ht="11.25" customHeight="1">
      <c r="A27" s="17" t="str">
        <f>_xlfn.CUBEMEMBER("walle RP2012","[Geographie].[Subdivision].&amp;[3]")</f>
        <v>Marquises</v>
      </c>
      <c r="B27" s="18">
        <f t="shared" si="2"/>
        <v>6732</v>
      </c>
      <c r="C27" s="18">
        <f t="shared" si="2"/>
        <v>2769</v>
      </c>
      <c r="D27" s="18">
        <f t="shared" si="2"/>
        <v>741</v>
      </c>
      <c r="E27" s="18">
        <f t="shared" si="2"/>
        <v>1105</v>
      </c>
      <c r="F27" s="18">
        <f t="shared" si="2"/>
        <v>1075</v>
      </c>
      <c r="G27" s="18">
        <f t="shared" si="2"/>
        <v>247</v>
      </c>
      <c r="H27" s="18">
        <f t="shared" si="2"/>
        <v>403</v>
      </c>
      <c r="I27" s="18">
        <f t="shared" si="2"/>
        <v>272</v>
      </c>
      <c r="J27" s="19">
        <f t="shared" si="2"/>
        <v>120</v>
      </c>
      <c r="K27" s="35"/>
      <c r="L27" s="36"/>
      <c r="M27" s="36"/>
      <c r="N27" s="36"/>
      <c r="O27" s="36"/>
      <c r="P27" s="36"/>
      <c r="Q27" s="36"/>
      <c r="R27" s="36"/>
      <c r="S27" s="36"/>
    </row>
    <row r="28" spans="1:19" s="34" customFormat="1" ht="11.25" customHeight="1">
      <c r="A28" s="6" t="str">
        <f>_xlfn.CUBEMEMBER("walle RP2012",{"[Geographie].[Subdivision].&amp;[3]","[Geographie].[Commune].&amp;[18]"})</f>
        <v>Fatu Hiva</v>
      </c>
      <c r="B28" s="28">
        <f t="shared" si="2"/>
        <v>460</v>
      </c>
      <c r="C28" s="28">
        <f t="shared" si="2"/>
        <v>229</v>
      </c>
      <c r="D28" s="28">
        <f t="shared" si="2"/>
        <v>60</v>
      </c>
      <c r="E28" s="28">
        <f t="shared" si="2"/>
        <v>59</v>
      </c>
      <c r="F28" s="28">
        <f t="shared" si="2"/>
        <v>74</v>
      </c>
      <c r="G28" s="28">
        <f t="shared" si="2"/>
        <v>19</v>
      </c>
      <c r="H28" s="28">
        <f t="shared" si="2"/>
        <v>12</v>
      </c>
      <c r="I28" s="28">
        <f t="shared" si="2"/>
        <v>7</v>
      </c>
      <c r="J28" s="29">
        <f t="shared" si="2"/>
      </c>
      <c r="K28" s="38"/>
      <c r="L28" s="39"/>
      <c r="M28" s="39"/>
      <c r="N28" s="39"/>
      <c r="O28" s="39"/>
      <c r="P28" s="39"/>
      <c r="Q28" s="39"/>
      <c r="R28" s="39"/>
      <c r="S28" s="39"/>
    </row>
    <row r="29" spans="1:19" s="34" customFormat="1" ht="11.25" customHeight="1">
      <c r="A29" s="6" t="str">
        <f>_xlfn.CUBEMEMBER("walle RP2012",{"[Geographie].[Subdivision].&amp;[3]","[Geographie].[Commune].&amp;[23]"})</f>
        <v>Hiva Oa</v>
      </c>
      <c r="B29" s="28">
        <f t="shared" si="2"/>
        <v>1634</v>
      </c>
      <c r="C29" s="28">
        <f t="shared" si="2"/>
        <v>576</v>
      </c>
      <c r="D29" s="28">
        <f t="shared" si="2"/>
        <v>208</v>
      </c>
      <c r="E29" s="28">
        <f t="shared" si="2"/>
        <v>275</v>
      </c>
      <c r="F29" s="28">
        <f t="shared" si="2"/>
        <v>250</v>
      </c>
      <c r="G29" s="28">
        <f t="shared" si="2"/>
        <v>103</v>
      </c>
      <c r="H29" s="28">
        <f t="shared" si="2"/>
        <v>94</v>
      </c>
      <c r="I29" s="28">
        <f t="shared" si="2"/>
        <v>89</v>
      </c>
      <c r="J29" s="29">
        <f t="shared" si="2"/>
        <v>39</v>
      </c>
      <c r="K29" s="38"/>
      <c r="L29" s="39"/>
      <c r="M29" s="39"/>
      <c r="N29" s="39"/>
      <c r="O29" s="39"/>
      <c r="P29" s="39"/>
      <c r="Q29" s="39"/>
      <c r="R29" s="39"/>
      <c r="S29" s="39"/>
    </row>
    <row r="30" spans="1:19" s="34" customFormat="1" ht="11.25" customHeight="1">
      <c r="A30" s="6" t="str">
        <f>_xlfn.CUBEMEMBER("walle RP2012",{"[Geographie].[Subdivision].&amp;[3]","[Geographie].[Commune].&amp;[31]"})</f>
        <v>Nuku Hiva</v>
      </c>
      <c r="B30" s="28">
        <f t="shared" si="2"/>
        <v>2151</v>
      </c>
      <c r="C30" s="28">
        <f t="shared" si="2"/>
        <v>804</v>
      </c>
      <c r="D30" s="28">
        <f t="shared" si="2"/>
        <v>211</v>
      </c>
      <c r="E30" s="28">
        <f t="shared" si="2"/>
        <v>325</v>
      </c>
      <c r="F30" s="28">
        <f t="shared" si="2"/>
        <v>404</v>
      </c>
      <c r="G30" s="28">
        <f t="shared" si="2"/>
        <v>73</v>
      </c>
      <c r="H30" s="28">
        <f t="shared" si="2"/>
        <v>161</v>
      </c>
      <c r="I30" s="28">
        <f t="shared" si="2"/>
        <v>112</v>
      </c>
      <c r="J30" s="29">
        <f t="shared" si="2"/>
        <v>61</v>
      </c>
      <c r="K30" s="38"/>
      <c r="L30" s="39"/>
      <c r="M30" s="39"/>
      <c r="N30" s="39"/>
      <c r="O30" s="39"/>
      <c r="P30" s="39"/>
      <c r="Q30" s="39"/>
      <c r="R30" s="39"/>
      <c r="S30" s="39"/>
    </row>
    <row r="31" spans="1:19" s="34" customFormat="1" ht="11.25" customHeight="1">
      <c r="A31" s="6" t="str">
        <f>_xlfn.CUBEMEMBER("walle RP2012",{"[Geographie].[Subdivision].&amp;[3]","[Geographie].[Commune].&amp;[46]"})</f>
        <v>Tahuata</v>
      </c>
      <c r="B31" s="28">
        <f t="shared" si="2"/>
        <v>507</v>
      </c>
      <c r="C31" s="28">
        <f aca="true" t="shared" si="3" ref="C31:J46">_xlfn.CUBEVALUE("walle RP2012",$A$2,$A31,C$2)</f>
        <v>329</v>
      </c>
      <c r="D31" s="28">
        <f t="shared" si="3"/>
        <v>30</v>
      </c>
      <c r="E31" s="28">
        <f t="shared" si="3"/>
        <v>61</v>
      </c>
      <c r="F31" s="28">
        <f t="shared" si="3"/>
        <v>52</v>
      </c>
      <c r="G31" s="28">
        <f t="shared" si="3"/>
        <v>12</v>
      </c>
      <c r="H31" s="28">
        <f t="shared" si="3"/>
        <v>15</v>
      </c>
      <c r="I31" s="28">
        <f t="shared" si="3"/>
        <v>6</v>
      </c>
      <c r="J31" s="29">
        <f t="shared" si="3"/>
        <v>2</v>
      </c>
      <c r="K31" s="38"/>
      <c r="L31" s="39"/>
      <c r="M31" s="39"/>
      <c r="N31" s="39"/>
      <c r="O31" s="39"/>
      <c r="P31" s="39"/>
      <c r="Q31" s="39"/>
      <c r="R31" s="39"/>
      <c r="S31" s="39"/>
    </row>
    <row r="32" spans="1:19" s="34" customFormat="1" ht="11.25" customHeight="1">
      <c r="A32" s="6" t="str">
        <f>_xlfn.CUBEMEMBER("walle RP2012",{"[Geographie].[Subdivision].&amp;[3]","[Geographie].[Commune].&amp;[56]"})</f>
        <v>Ua Huka</v>
      </c>
      <c r="B32" s="28">
        <f t="shared" si="2"/>
        <v>459</v>
      </c>
      <c r="C32" s="28">
        <f t="shared" si="3"/>
        <v>234</v>
      </c>
      <c r="D32" s="28">
        <f t="shared" si="3"/>
        <v>63</v>
      </c>
      <c r="E32" s="28">
        <f t="shared" si="3"/>
        <v>59</v>
      </c>
      <c r="F32" s="28">
        <f t="shared" si="3"/>
        <v>59</v>
      </c>
      <c r="G32" s="28">
        <f t="shared" si="3"/>
        <v>8</v>
      </c>
      <c r="H32" s="28">
        <f t="shared" si="3"/>
        <v>27</v>
      </c>
      <c r="I32" s="28">
        <f t="shared" si="3"/>
        <v>6</v>
      </c>
      <c r="J32" s="29">
        <f t="shared" si="3"/>
        <v>3</v>
      </c>
      <c r="K32" s="38"/>
      <c r="L32" s="39"/>
      <c r="M32" s="39"/>
      <c r="N32" s="39"/>
      <c r="O32" s="39"/>
      <c r="P32" s="39"/>
      <c r="Q32" s="39"/>
      <c r="R32" s="39"/>
      <c r="S32" s="39"/>
    </row>
    <row r="33" spans="1:19" s="34" customFormat="1" ht="11.25" customHeight="1">
      <c r="A33" s="6" t="str">
        <f>_xlfn.CUBEMEMBER("walle RP2012",{"[Geographie].[Subdivision].&amp;[3]","[Geographie].[Commune].&amp;[57]"})</f>
        <v>Ua Pou</v>
      </c>
      <c r="B33" s="28">
        <f t="shared" si="2"/>
        <v>1521</v>
      </c>
      <c r="C33" s="28">
        <f t="shared" si="3"/>
        <v>597</v>
      </c>
      <c r="D33" s="28">
        <f t="shared" si="3"/>
        <v>169</v>
      </c>
      <c r="E33" s="28">
        <f t="shared" si="3"/>
        <v>326</v>
      </c>
      <c r="F33" s="28">
        <f t="shared" si="3"/>
        <v>236</v>
      </c>
      <c r="G33" s="28">
        <f t="shared" si="3"/>
        <v>32</v>
      </c>
      <c r="H33" s="28">
        <f t="shared" si="3"/>
        <v>94</v>
      </c>
      <c r="I33" s="28">
        <f t="shared" si="3"/>
        <v>52</v>
      </c>
      <c r="J33" s="29">
        <f t="shared" si="3"/>
        <v>15</v>
      </c>
      <c r="K33" s="38"/>
      <c r="L33" s="39"/>
      <c r="M33" s="39"/>
      <c r="N33" s="39"/>
      <c r="O33" s="39"/>
      <c r="P33" s="39"/>
      <c r="Q33" s="39"/>
      <c r="R33" s="39"/>
      <c r="S33" s="39"/>
    </row>
    <row r="34" spans="1:19" s="37" customFormat="1" ht="11.25" customHeight="1">
      <c r="A34" s="17" t="str">
        <f>_xlfn.CUBEMEMBER("walle RP2012","[Geographie].[Subdivision].&amp;[4]")</f>
        <v>Australes</v>
      </c>
      <c r="B34" s="18">
        <f t="shared" si="2"/>
        <v>4969</v>
      </c>
      <c r="C34" s="18">
        <f t="shared" si="3"/>
        <v>2210</v>
      </c>
      <c r="D34" s="18">
        <f t="shared" si="3"/>
        <v>663</v>
      </c>
      <c r="E34" s="18">
        <f t="shared" si="3"/>
        <v>792</v>
      </c>
      <c r="F34" s="18">
        <f t="shared" si="3"/>
        <v>644</v>
      </c>
      <c r="G34" s="18">
        <f t="shared" si="3"/>
        <v>203</v>
      </c>
      <c r="H34" s="18">
        <f t="shared" si="3"/>
        <v>232</v>
      </c>
      <c r="I34" s="18">
        <f t="shared" si="3"/>
        <v>154</v>
      </c>
      <c r="J34" s="19">
        <f t="shared" si="3"/>
        <v>71</v>
      </c>
      <c r="K34" s="35"/>
      <c r="L34" s="36"/>
      <c r="M34" s="36"/>
      <c r="N34" s="36"/>
      <c r="O34" s="36"/>
      <c r="P34" s="36"/>
      <c r="Q34" s="36"/>
      <c r="R34" s="36"/>
      <c r="S34" s="36"/>
    </row>
    <row r="35" spans="1:19" s="34" customFormat="1" ht="11.25" customHeight="1">
      <c r="A35" s="6" t="str">
        <f>_xlfn.CUBEMEMBER("walle RP2012",{"[Geographie].[Subdivision].&amp;[4]","[Geographie].[Commune].&amp;[39]"})</f>
        <v>Raivavae</v>
      </c>
      <c r="B35" s="30">
        <f t="shared" si="2"/>
        <v>740</v>
      </c>
      <c r="C35" s="30">
        <f t="shared" si="3"/>
        <v>273</v>
      </c>
      <c r="D35" s="30">
        <f t="shared" si="3"/>
        <v>144</v>
      </c>
      <c r="E35" s="30">
        <f t="shared" si="3"/>
        <v>138</v>
      </c>
      <c r="F35" s="30">
        <f t="shared" si="3"/>
        <v>92</v>
      </c>
      <c r="G35" s="30">
        <f t="shared" si="3"/>
        <v>37</v>
      </c>
      <c r="H35" s="30">
        <f t="shared" si="3"/>
        <v>33</v>
      </c>
      <c r="I35" s="30">
        <f t="shared" si="3"/>
        <v>21</v>
      </c>
      <c r="J35" s="31">
        <f t="shared" si="3"/>
        <v>2</v>
      </c>
      <c r="K35" s="38"/>
      <c r="L35" s="39"/>
      <c r="M35" s="39"/>
      <c r="N35" s="39"/>
      <c r="O35" s="39"/>
      <c r="P35" s="39"/>
      <c r="Q35" s="39"/>
      <c r="R35" s="39"/>
      <c r="S35" s="39"/>
    </row>
    <row r="36" spans="1:19" s="34" customFormat="1" ht="11.25" customHeight="1">
      <c r="A36" s="6" t="str">
        <f>_xlfn.CUBEMEMBER("walle RP2012",{"[Geographie].[Subdivision].&amp;[4]","[Geographie].[Commune].&amp;[41]"})</f>
        <v>Rapa</v>
      </c>
      <c r="B36" s="28">
        <f t="shared" si="2"/>
        <v>368</v>
      </c>
      <c r="C36" s="28">
        <f t="shared" si="3"/>
        <v>187</v>
      </c>
      <c r="D36" s="28">
        <f t="shared" si="3"/>
        <v>32</v>
      </c>
      <c r="E36" s="28">
        <f t="shared" si="3"/>
        <v>66</v>
      </c>
      <c r="F36" s="28">
        <f t="shared" si="3"/>
        <v>53</v>
      </c>
      <c r="G36" s="28">
        <f t="shared" si="3"/>
        <v>4</v>
      </c>
      <c r="H36" s="28">
        <f t="shared" si="3"/>
        <v>20</v>
      </c>
      <c r="I36" s="28">
        <f t="shared" si="3"/>
        <v>4</v>
      </c>
      <c r="J36" s="29">
        <f t="shared" si="3"/>
        <v>2</v>
      </c>
      <c r="K36" s="38"/>
      <c r="L36" s="39"/>
      <c r="M36" s="39"/>
      <c r="N36" s="39"/>
      <c r="O36" s="39"/>
      <c r="P36" s="39"/>
      <c r="Q36" s="39"/>
      <c r="R36" s="39"/>
      <c r="S36" s="39"/>
    </row>
    <row r="37" spans="1:19" s="34" customFormat="1" ht="11.25" customHeight="1">
      <c r="A37" s="6" t="str">
        <f>_xlfn.CUBEMEMBER("walle RP2012",{"[Geographie].[Subdivision].&amp;[4]","[Geographie].[Commune].&amp;[43]"})</f>
        <v>Rimatara</v>
      </c>
      <c r="B37" s="28">
        <f t="shared" si="2"/>
        <v>616</v>
      </c>
      <c r="C37" s="28">
        <f t="shared" si="3"/>
        <v>276</v>
      </c>
      <c r="D37" s="28">
        <f t="shared" si="3"/>
        <v>142</v>
      </c>
      <c r="E37" s="28">
        <f t="shared" si="3"/>
        <v>59</v>
      </c>
      <c r="F37" s="28">
        <f t="shared" si="3"/>
        <v>75</v>
      </c>
      <c r="G37" s="28">
        <f t="shared" si="3"/>
        <v>16</v>
      </c>
      <c r="H37" s="28">
        <f t="shared" si="3"/>
        <v>30</v>
      </c>
      <c r="I37" s="28">
        <f t="shared" si="3"/>
        <v>14</v>
      </c>
      <c r="J37" s="29">
        <f t="shared" si="3"/>
        <v>4</v>
      </c>
      <c r="K37" s="38"/>
      <c r="L37" s="39"/>
      <c r="M37" s="39"/>
      <c r="N37" s="39"/>
      <c r="O37" s="39"/>
      <c r="P37" s="39"/>
      <c r="Q37" s="39"/>
      <c r="R37" s="39"/>
      <c r="S37" s="39"/>
    </row>
    <row r="38" spans="1:19" s="34" customFormat="1" ht="11.25" customHeight="1">
      <c r="A38" s="6" t="str">
        <f>_xlfn.CUBEMEMBER("walle RP2012",{"[Geographie].[Subdivision].&amp;[4]","[Geographie].[Commune].&amp;[44]"})</f>
        <v>Rurutu</v>
      </c>
      <c r="B38" s="28">
        <f t="shared" si="2"/>
        <v>1669</v>
      </c>
      <c r="C38" s="28">
        <f t="shared" si="3"/>
        <v>728</v>
      </c>
      <c r="D38" s="28">
        <f t="shared" si="3"/>
        <v>223</v>
      </c>
      <c r="E38" s="28">
        <f t="shared" si="3"/>
        <v>262</v>
      </c>
      <c r="F38" s="28">
        <f t="shared" si="3"/>
        <v>232</v>
      </c>
      <c r="G38" s="28">
        <f t="shared" si="3"/>
        <v>67</v>
      </c>
      <c r="H38" s="28">
        <f t="shared" si="3"/>
        <v>72</v>
      </c>
      <c r="I38" s="28">
        <f t="shared" si="3"/>
        <v>57</v>
      </c>
      <c r="J38" s="29">
        <f t="shared" si="3"/>
        <v>28</v>
      </c>
      <c r="K38" s="38"/>
      <c r="L38" s="39"/>
      <c r="M38" s="39"/>
      <c r="N38" s="39"/>
      <c r="O38" s="39"/>
      <c r="P38" s="39"/>
      <c r="Q38" s="39"/>
      <c r="R38" s="39"/>
      <c r="S38" s="39"/>
    </row>
    <row r="39" spans="1:19" s="34" customFormat="1" ht="11.25" customHeight="1">
      <c r="A39" s="6" t="str">
        <f>_xlfn.CUBEMEMBER("walle RP2012",{"[Geographie].[Subdivision].&amp;[4]","[Geographie].[Commune].&amp;[53]"})</f>
        <v>Tubuai</v>
      </c>
      <c r="B39" s="28">
        <f t="shared" si="2"/>
        <v>1576</v>
      </c>
      <c r="C39" s="28">
        <f t="shared" si="3"/>
        <v>746</v>
      </c>
      <c r="D39" s="28">
        <f t="shared" si="3"/>
        <v>122</v>
      </c>
      <c r="E39" s="28">
        <f t="shared" si="3"/>
        <v>267</v>
      </c>
      <c r="F39" s="28">
        <f t="shared" si="3"/>
        <v>192</v>
      </c>
      <c r="G39" s="28">
        <f t="shared" si="3"/>
        <v>79</v>
      </c>
      <c r="H39" s="28">
        <f t="shared" si="3"/>
        <v>77</v>
      </c>
      <c r="I39" s="28">
        <f t="shared" si="3"/>
        <v>58</v>
      </c>
      <c r="J39" s="29">
        <f t="shared" si="3"/>
        <v>35</v>
      </c>
      <c r="K39" s="38"/>
      <c r="L39" s="39"/>
      <c r="M39" s="39"/>
      <c r="N39" s="39"/>
      <c r="O39" s="39"/>
      <c r="P39" s="39"/>
      <c r="Q39" s="39"/>
      <c r="R39" s="39"/>
      <c r="S39" s="39"/>
    </row>
    <row r="40" spans="1:19" s="37" customFormat="1" ht="11.25" customHeight="1">
      <c r="A40" s="17" t="str">
        <f>_xlfn.CUBEMEMBER("walle RP2012","[Geographie].[Subdivision].&amp;[5]")</f>
        <v>Tuamotu-Gambier</v>
      </c>
      <c r="B40" s="18">
        <f t="shared" si="2"/>
        <v>12427</v>
      </c>
      <c r="C40" s="18">
        <f t="shared" si="3"/>
        <v>5710</v>
      </c>
      <c r="D40" s="18">
        <f t="shared" si="3"/>
        <v>1776</v>
      </c>
      <c r="E40" s="18">
        <f t="shared" si="3"/>
        <v>1690</v>
      </c>
      <c r="F40" s="18">
        <f t="shared" si="3"/>
        <v>1708</v>
      </c>
      <c r="G40" s="18">
        <f t="shared" si="3"/>
        <v>454</v>
      </c>
      <c r="H40" s="18">
        <f t="shared" si="3"/>
        <v>552</v>
      </c>
      <c r="I40" s="18">
        <f t="shared" si="3"/>
        <v>341</v>
      </c>
      <c r="J40" s="19">
        <f t="shared" si="3"/>
        <v>196</v>
      </c>
      <c r="K40" s="35"/>
      <c r="L40" s="36"/>
      <c r="M40" s="36"/>
      <c r="N40" s="36"/>
      <c r="O40" s="36"/>
      <c r="P40" s="36"/>
      <c r="Q40" s="36"/>
      <c r="R40" s="36"/>
      <c r="S40" s="36"/>
    </row>
    <row r="41" spans="1:19" s="34" customFormat="1" ht="11.25" customHeight="1">
      <c r="A41" s="6" t="str">
        <f>_xlfn.CUBEMEMBER("walle RP2012",{"[Geographie].[Subdivision].&amp;[5]","[Geographie].[Commune].&amp;[11]"})</f>
        <v>Anaa</v>
      </c>
      <c r="B41" s="28">
        <f t="shared" si="2"/>
        <v>653</v>
      </c>
      <c r="C41" s="28">
        <f t="shared" si="3"/>
        <v>326</v>
      </c>
      <c r="D41" s="28">
        <f t="shared" si="3"/>
        <v>108</v>
      </c>
      <c r="E41" s="28">
        <f t="shared" si="3"/>
        <v>93</v>
      </c>
      <c r="F41" s="28">
        <f t="shared" si="3"/>
        <v>74</v>
      </c>
      <c r="G41" s="28">
        <f t="shared" si="3"/>
        <v>15</v>
      </c>
      <c r="H41" s="28">
        <f t="shared" si="3"/>
        <v>21</v>
      </c>
      <c r="I41" s="28">
        <f t="shared" si="3"/>
        <v>9</v>
      </c>
      <c r="J41" s="29">
        <f t="shared" si="3"/>
        <v>7</v>
      </c>
      <c r="K41" s="38"/>
      <c r="L41" s="39"/>
      <c r="M41" s="39"/>
      <c r="N41" s="39"/>
      <c r="O41" s="39"/>
      <c r="P41" s="39"/>
      <c r="Q41" s="39"/>
      <c r="R41" s="39"/>
      <c r="S41" s="39"/>
    </row>
    <row r="42" spans="1:19" s="34" customFormat="1" ht="11.25" customHeight="1">
      <c r="A42" s="6" t="str">
        <f>_xlfn.CUBEMEMBER("walle RP2012",{"[Geographie].[Subdivision].&amp;[5]","[Geographie].[Commune].&amp;[13]"})</f>
        <v>Arutua</v>
      </c>
      <c r="B42" s="28">
        <f t="shared" si="2"/>
        <v>1131</v>
      </c>
      <c r="C42" s="28">
        <f t="shared" si="3"/>
        <v>574</v>
      </c>
      <c r="D42" s="28">
        <f t="shared" si="3"/>
        <v>185</v>
      </c>
      <c r="E42" s="28">
        <f t="shared" si="3"/>
        <v>157</v>
      </c>
      <c r="F42" s="28">
        <f t="shared" si="3"/>
        <v>120</v>
      </c>
      <c r="G42" s="28">
        <f t="shared" si="3"/>
        <v>39</v>
      </c>
      <c r="H42" s="28">
        <f t="shared" si="3"/>
        <v>40</v>
      </c>
      <c r="I42" s="28">
        <f t="shared" si="3"/>
        <v>12</v>
      </c>
      <c r="J42" s="29">
        <f t="shared" si="3"/>
        <v>4</v>
      </c>
      <c r="K42" s="38"/>
      <c r="L42" s="39"/>
      <c r="M42" s="39"/>
      <c r="N42" s="39"/>
      <c r="O42" s="39"/>
      <c r="P42" s="39"/>
      <c r="Q42" s="39"/>
      <c r="R42" s="39"/>
      <c r="S42" s="39"/>
    </row>
    <row r="43" spans="1:19" s="34" customFormat="1" ht="11.25" customHeight="1">
      <c r="A43" s="6" t="str">
        <f>_xlfn.CUBEMEMBER("walle RP2012",{"[Geographie].[Subdivision].&amp;[5]","[Geographie].[Commune].&amp;[16]"})</f>
        <v>Fakarava</v>
      </c>
      <c r="B43" s="28">
        <f t="shared" si="2"/>
        <v>1201</v>
      </c>
      <c r="C43" s="28">
        <f t="shared" si="3"/>
        <v>616</v>
      </c>
      <c r="D43" s="28">
        <f t="shared" si="3"/>
        <v>160</v>
      </c>
      <c r="E43" s="28">
        <f t="shared" si="3"/>
        <v>140</v>
      </c>
      <c r="F43" s="28">
        <f t="shared" si="3"/>
        <v>160</v>
      </c>
      <c r="G43" s="28">
        <f t="shared" si="3"/>
        <v>34</v>
      </c>
      <c r="H43" s="28">
        <f t="shared" si="3"/>
        <v>48</v>
      </c>
      <c r="I43" s="28">
        <f t="shared" si="3"/>
        <v>24</v>
      </c>
      <c r="J43" s="29">
        <f t="shared" si="3"/>
        <v>19</v>
      </c>
      <c r="K43" s="38"/>
      <c r="L43" s="39"/>
      <c r="M43" s="39"/>
      <c r="N43" s="39"/>
      <c r="O43" s="39"/>
      <c r="P43" s="39"/>
      <c r="Q43" s="39"/>
      <c r="R43" s="39"/>
      <c r="S43" s="39"/>
    </row>
    <row r="44" spans="1:19" s="34" customFormat="1" ht="11.25" customHeight="1">
      <c r="A44" s="6" t="str">
        <f>_xlfn.CUBEMEMBER("walle RP2012",{"[Geographie].[Subdivision].&amp;[5]","[Geographie].[Commune].&amp;[17]"})</f>
        <v>Fangatau</v>
      </c>
      <c r="B44" s="28">
        <f t="shared" si="2"/>
        <v>232</v>
      </c>
      <c r="C44" s="28">
        <f t="shared" si="3"/>
        <v>122</v>
      </c>
      <c r="D44" s="28">
        <f t="shared" si="3"/>
        <v>35</v>
      </c>
      <c r="E44" s="28">
        <f t="shared" si="3"/>
        <v>21</v>
      </c>
      <c r="F44" s="28">
        <f t="shared" si="3"/>
        <v>31</v>
      </c>
      <c r="G44" s="28">
        <f t="shared" si="3"/>
        <v>3</v>
      </c>
      <c r="H44" s="28">
        <f t="shared" si="3"/>
        <v>19</v>
      </c>
      <c r="I44" s="28">
        <f t="shared" si="3"/>
      </c>
      <c r="J44" s="29">
        <f t="shared" si="3"/>
        <v>1</v>
      </c>
      <c r="K44" s="38"/>
      <c r="L44" s="39"/>
      <c r="M44" s="39"/>
      <c r="N44" s="39"/>
      <c r="O44" s="39"/>
      <c r="P44" s="39"/>
      <c r="Q44" s="39"/>
      <c r="R44" s="39"/>
      <c r="S44" s="39"/>
    </row>
    <row r="45" spans="1:19" s="34" customFormat="1" ht="11.25" customHeight="1">
      <c r="A45" s="6" t="str">
        <f>_xlfn.CUBEMEMBER("walle RP2012",{"[Geographie].[Subdivision].&amp;[5]","[Geographie].[Commune].&amp;[19]"})</f>
        <v>Gambier</v>
      </c>
      <c r="B45" s="30">
        <f t="shared" si="2"/>
        <v>1052</v>
      </c>
      <c r="C45" s="30">
        <f t="shared" si="3"/>
        <v>426</v>
      </c>
      <c r="D45" s="30">
        <f t="shared" si="3"/>
        <v>209</v>
      </c>
      <c r="E45" s="30">
        <f t="shared" si="3"/>
        <v>132</v>
      </c>
      <c r="F45" s="30">
        <f t="shared" si="3"/>
        <v>169</v>
      </c>
      <c r="G45" s="30">
        <f t="shared" si="3"/>
        <v>42</v>
      </c>
      <c r="H45" s="30">
        <f t="shared" si="3"/>
        <v>42</v>
      </c>
      <c r="I45" s="30">
        <f t="shared" si="3"/>
        <v>21</v>
      </c>
      <c r="J45" s="31">
        <f t="shared" si="3"/>
        <v>11</v>
      </c>
      <c r="K45" s="38"/>
      <c r="L45" s="39"/>
      <c r="M45" s="39"/>
      <c r="N45" s="39"/>
      <c r="O45" s="39"/>
      <c r="P45" s="39"/>
      <c r="Q45" s="39"/>
      <c r="R45" s="39"/>
      <c r="S45" s="39"/>
    </row>
    <row r="46" spans="1:19" s="34" customFormat="1" ht="11.25" customHeight="1">
      <c r="A46" s="6" t="str">
        <f>_xlfn.CUBEMEMBER("walle RP2012",{"[Geographie].[Subdivision].&amp;[5]","[Geographie].[Commune].&amp;[20]"})</f>
        <v>Hao</v>
      </c>
      <c r="B46" s="28">
        <f t="shared" si="2"/>
        <v>942</v>
      </c>
      <c r="C46" s="28">
        <f t="shared" si="3"/>
        <v>398</v>
      </c>
      <c r="D46" s="28">
        <f t="shared" si="3"/>
        <v>93</v>
      </c>
      <c r="E46" s="28">
        <f t="shared" si="3"/>
        <v>122</v>
      </c>
      <c r="F46" s="28">
        <f t="shared" si="3"/>
        <v>158</v>
      </c>
      <c r="G46" s="28">
        <f t="shared" si="3"/>
        <v>22</v>
      </c>
      <c r="H46" s="28">
        <f t="shared" si="3"/>
        <v>83</v>
      </c>
      <c r="I46" s="28">
        <f t="shared" si="3"/>
        <v>38</v>
      </c>
      <c r="J46" s="29">
        <f t="shared" si="3"/>
        <v>28</v>
      </c>
      <c r="K46" s="38"/>
      <c r="L46" s="39"/>
      <c r="M46" s="39"/>
      <c r="N46" s="39"/>
      <c r="O46" s="39"/>
      <c r="P46" s="39"/>
      <c r="Q46" s="39"/>
      <c r="R46" s="39"/>
      <c r="S46" s="39"/>
    </row>
    <row r="47" spans="1:19" s="34" customFormat="1" ht="11.25" customHeight="1">
      <c r="A47" s="6" t="str">
        <f>_xlfn.CUBEMEMBER("walle RP2012",{"[Geographie].[Subdivision].&amp;[5]","[Geographie].[Commune].&amp;[21]"})</f>
        <v>Hikueru</v>
      </c>
      <c r="B47" s="28">
        <f t="shared" si="2"/>
        <v>176</v>
      </c>
      <c r="C47" s="28">
        <f aca="true" t="shared" si="4" ref="C47:J57">_xlfn.CUBEVALUE("walle RP2012",$A$2,$A47,C$2)</f>
        <v>76</v>
      </c>
      <c r="D47" s="28">
        <f t="shared" si="4"/>
        <v>41</v>
      </c>
      <c r="E47" s="28">
        <f t="shared" si="4"/>
        <v>18</v>
      </c>
      <c r="F47" s="28">
        <f t="shared" si="4"/>
        <v>20</v>
      </c>
      <c r="G47" s="28">
        <f t="shared" si="4"/>
        <v>7</v>
      </c>
      <c r="H47" s="28">
        <f t="shared" si="4"/>
        <v>11</v>
      </c>
      <c r="I47" s="28">
        <f t="shared" si="4"/>
        <v>3</v>
      </c>
      <c r="J47" s="29">
        <f t="shared" si="4"/>
      </c>
      <c r="K47" s="38"/>
      <c r="L47" s="39"/>
      <c r="M47" s="39"/>
      <c r="N47" s="39"/>
      <c r="O47" s="39"/>
      <c r="P47" s="39"/>
      <c r="Q47" s="39"/>
      <c r="R47" s="39"/>
      <c r="S47" s="39"/>
    </row>
    <row r="48" spans="1:19" s="34" customFormat="1" ht="11.25" customHeight="1">
      <c r="A48" s="6" t="str">
        <f>_xlfn.CUBEMEMBER("walle RP2012",{"[Geographie].[Subdivision].&amp;[5]","[Geographie].[Commune].&amp;[26]"})</f>
        <v>Makemo</v>
      </c>
      <c r="B48" s="28">
        <f t="shared" si="2"/>
        <v>1118</v>
      </c>
      <c r="C48" s="28">
        <f t="shared" si="4"/>
        <v>490</v>
      </c>
      <c r="D48" s="28">
        <f t="shared" si="4"/>
        <v>179</v>
      </c>
      <c r="E48" s="28">
        <f t="shared" si="4"/>
        <v>148</v>
      </c>
      <c r="F48" s="28">
        <f t="shared" si="4"/>
        <v>160</v>
      </c>
      <c r="G48" s="28">
        <f t="shared" si="4"/>
        <v>61</v>
      </c>
      <c r="H48" s="28">
        <f t="shared" si="4"/>
        <v>35</v>
      </c>
      <c r="I48" s="28">
        <f t="shared" si="4"/>
        <v>31</v>
      </c>
      <c r="J48" s="29">
        <f t="shared" si="4"/>
        <v>14</v>
      </c>
      <c r="K48" s="38"/>
      <c r="L48" s="39"/>
      <c r="M48" s="39"/>
      <c r="N48" s="39"/>
      <c r="O48" s="39"/>
      <c r="P48" s="39"/>
      <c r="Q48" s="39"/>
      <c r="R48" s="39"/>
      <c r="S48" s="39"/>
    </row>
    <row r="49" spans="1:19" s="34" customFormat="1" ht="11.25" customHeight="1">
      <c r="A49" s="6" t="str">
        <f>_xlfn.CUBEMEMBER("walle RP2012",{"[Geographie].[Subdivision].&amp;[5]","[Geographie].[Commune].&amp;[27]"})</f>
        <v>Manihi</v>
      </c>
      <c r="B49" s="28">
        <f t="shared" si="2"/>
        <v>958</v>
      </c>
      <c r="C49" s="28">
        <f t="shared" si="4"/>
        <v>500</v>
      </c>
      <c r="D49" s="28">
        <f t="shared" si="4"/>
        <v>88</v>
      </c>
      <c r="E49" s="28">
        <f t="shared" si="4"/>
        <v>120</v>
      </c>
      <c r="F49" s="28">
        <f t="shared" si="4"/>
        <v>136</v>
      </c>
      <c r="G49" s="28">
        <f t="shared" si="4"/>
        <v>51</v>
      </c>
      <c r="H49" s="28">
        <f t="shared" si="4"/>
        <v>35</v>
      </c>
      <c r="I49" s="28">
        <f t="shared" si="4"/>
        <v>13</v>
      </c>
      <c r="J49" s="29">
        <f t="shared" si="4"/>
        <v>15</v>
      </c>
      <c r="K49" s="38"/>
      <c r="L49" s="39"/>
      <c r="M49" s="39"/>
      <c r="N49" s="39"/>
      <c r="O49" s="39"/>
      <c r="P49" s="39"/>
      <c r="Q49" s="39"/>
      <c r="R49" s="39"/>
      <c r="S49" s="39"/>
    </row>
    <row r="50" spans="1:19" s="34" customFormat="1" ht="11.25" customHeight="1">
      <c r="A50" s="6" t="str">
        <f>_xlfn.CUBEMEMBER("walle RP2012",{"[Geographie].[Subdivision].&amp;[5]","[Geographie].[Commune].&amp;[30]"})</f>
        <v>Napuka</v>
      </c>
      <c r="B50" s="28">
        <f t="shared" si="2"/>
        <v>245</v>
      </c>
      <c r="C50" s="28">
        <f t="shared" si="4"/>
        <v>172</v>
      </c>
      <c r="D50" s="28">
        <f t="shared" si="4"/>
        <v>16</v>
      </c>
      <c r="E50" s="28">
        <f t="shared" si="4"/>
        <v>24</v>
      </c>
      <c r="F50" s="28">
        <f t="shared" si="4"/>
        <v>19</v>
      </c>
      <c r="G50" s="28">
        <f t="shared" si="4"/>
        <v>1</v>
      </c>
      <c r="H50" s="28">
        <f t="shared" si="4"/>
        <v>10</v>
      </c>
      <c r="I50" s="28">
        <f t="shared" si="4"/>
        <v>2</v>
      </c>
      <c r="J50" s="29">
        <f t="shared" si="4"/>
        <v>1</v>
      </c>
      <c r="K50" s="38"/>
      <c r="L50" s="39"/>
      <c r="M50" s="39"/>
      <c r="N50" s="39"/>
      <c r="O50" s="39"/>
      <c r="P50" s="39"/>
      <c r="Q50" s="39"/>
      <c r="R50" s="39"/>
      <c r="S50" s="39"/>
    </row>
    <row r="51" spans="1:19" s="34" customFormat="1" ht="11.25" customHeight="1">
      <c r="A51" s="6" t="str">
        <f>_xlfn.CUBEMEMBER("walle RP2012",{"[Geographie].[Subdivision].&amp;[5]","[Geographie].[Commune].&amp;[32]"})</f>
        <v>Nukutavake</v>
      </c>
      <c r="B51" s="28">
        <f t="shared" si="2"/>
        <v>247</v>
      </c>
      <c r="C51" s="28">
        <f t="shared" si="4"/>
        <v>116</v>
      </c>
      <c r="D51" s="28">
        <f t="shared" si="4"/>
        <v>46</v>
      </c>
      <c r="E51" s="28">
        <f t="shared" si="4"/>
        <v>38</v>
      </c>
      <c r="F51" s="28">
        <f t="shared" si="4"/>
        <v>32</v>
      </c>
      <c r="G51" s="28">
        <f t="shared" si="4"/>
        <v>4</v>
      </c>
      <c r="H51" s="28">
        <f t="shared" si="4"/>
        <v>7</v>
      </c>
      <c r="I51" s="28">
        <f t="shared" si="4"/>
        <v>4</v>
      </c>
      <c r="J51" s="29">
        <f t="shared" si="4"/>
      </c>
      <c r="K51" s="38"/>
      <c r="L51" s="39"/>
      <c r="M51" s="39"/>
      <c r="N51" s="39"/>
      <c r="O51" s="39"/>
      <c r="P51" s="39"/>
      <c r="Q51" s="39"/>
      <c r="R51" s="39"/>
      <c r="S51" s="39"/>
    </row>
    <row r="52" spans="1:19" s="40" customFormat="1" ht="11.25" customHeight="1">
      <c r="A52" s="6" t="str">
        <f>_xlfn.CUBEMEMBER("walle RP2012",{"[Geographie].[Subdivision].&amp;[5]","[Geographie].[Commune].&amp;[37]"})</f>
        <v>Pukapuka</v>
      </c>
      <c r="B52" s="28">
        <f t="shared" si="2"/>
        <v>115</v>
      </c>
      <c r="C52" s="28">
        <f t="shared" si="4"/>
        <v>73</v>
      </c>
      <c r="D52" s="28">
        <f t="shared" si="4"/>
        <v>6</v>
      </c>
      <c r="E52" s="28">
        <f t="shared" si="4"/>
        <v>15</v>
      </c>
      <c r="F52" s="28">
        <f t="shared" si="4"/>
        <v>15</v>
      </c>
      <c r="G52" s="28">
        <f t="shared" si="4"/>
      </c>
      <c r="H52" s="28">
        <f t="shared" si="4"/>
        <v>4</v>
      </c>
      <c r="I52" s="28">
        <f t="shared" si="4"/>
        <v>1</v>
      </c>
      <c r="J52" s="29">
        <f t="shared" si="4"/>
        <v>1</v>
      </c>
      <c r="K52" s="38"/>
      <c r="L52" s="39"/>
      <c r="M52" s="39"/>
      <c r="N52" s="39"/>
      <c r="O52" s="39"/>
      <c r="P52" s="39"/>
      <c r="Q52" s="39"/>
      <c r="R52" s="39"/>
      <c r="S52" s="39"/>
    </row>
    <row r="53" spans="1:19" s="40" customFormat="1" ht="11.25" customHeight="1">
      <c r="A53" s="6" t="str">
        <f>_xlfn.CUBEMEMBER("walle RP2012",{"[Geographie].[Subdivision].&amp;[5]","[Geographie].[Commune].&amp;[40]"})</f>
        <v>Rangiroa</v>
      </c>
      <c r="B53" s="28">
        <f t="shared" si="2"/>
        <v>2557</v>
      </c>
      <c r="C53" s="28">
        <f t="shared" si="4"/>
        <v>867</v>
      </c>
      <c r="D53" s="28">
        <f t="shared" si="4"/>
        <v>402</v>
      </c>
      <c r="E53" s="28">
        <f t="shared" si="4"/>
        <v>420</v>
      </c>
      <c r="F53" s="28">
        <f t="shared" si="4"/>
        <v>388</v>
      </c>
      <c r="G53" s="28">
        <f t="shared" si="4"/>
        <v>118</v>
      </c>
      <c r="H53" s="28">
        <f t="shared" si="4"/>
        <v>133</v>
      </c>
      <c r="I53" s="28">
        <f t="shared" si="4"/>
        <v>147</v>
      </c>
      <c r="J53" s="29">
        <f t="shared" si="4"/>
        <v>82</v>
      </c>
      <c r="K53" s="38"/>
      <c r="L53" s="39"/>
      <c r="M53" s="39"/>
      <c r="N53" s="39"/>
      <c r="O53" s="39"/>
      <c r="P53" s="39"/>
      <c r="Q53" s="39"/>
      <c r="R53" s="39"/>
      <c r="S53" s="39"/>
    </row>
    <row r="54" spans="1:19" s="40" customFormat="1" ht="11.25" customHeight="1">
      <c r="A54" s="6" t="str">
        <f>_xlfn.CUBEMEMBER("walle RP2012",{"[Geographie].[Subdivision].&amp;[5]","[Geographie].[Commune].&amp;[42]"})</f>
        <v>Reao</v>
      </c>
      <c r="B54" s="28">
        <f t="shared" si="2"/>
        <v>444</v>
      </c>
      <c r="C54" s="28">
        <f t="shared" si="4"/>
        <v>291</v>
      </c>
      <c r="D54" s="28">
        <f t="shared" si="4"/>
        <v>32</v>
      </c>
      <c r="E54" s="28">
        <f t="shared" si="4"/>
        <v>45</v>
      </c>
      <c r="F54" s="28">
        <f t="shared" si="4"/>
        <v>51</v>
      </c>
      <c r="G54" s="28">
        <f t="shared" si="4"/>
        <v>6</v>
      </c>
      <c r="H54" s="28">
        <f t="shared" si="4"/>
        <v>14</v>
      </c>
      <c r="I54" s="28">
        <f t="shared" si="4"/>
        <v>5</v>
      </c>
      <c r="J54" s="29">
        <f t="shared" si="4"/>
      </c>
      <c r="K54" s="38"/>
      <c r="L54" s="39"/>
      <c r="M54" s="39"/>
      <c r="N54" s="39"/>
      <c r="O54" s="39"/>
      <c r="P54" s="39"/>
      <c r="Q54" s="39"/>
      <c r="R54" s="39"/>
      <c r="S54" s="39"/>
    </row>
    <row r="55" spans="1:19" s="40" customFormat="1" ht="11.25" customHeight="1">
      <c r="A55" s="6" t="str">
        <f>_xlfn.CUBEMEMBER("walle RP2012",{"[Geographie].[Subdivision].&amp;[5]","[Geographie].[Commune].&amp;[49]"})</f>
        <v>Takaroa</v>
      </c>
      <c r="B55" s="28">
        <f t="shared" si="2"/>
        <v>947</v>
      </c>
      <c r="C55" s="28">
        <f t="shared" si="4"/>
        <v>446</v>
      </c>
      <c r="D55" s="28">
        <f t="shared" si="4"/>
        <v>124</v>
      </c>
      <c r="E55" s="28">
        <f t="shared" si="4"/>
        <v>139</v>
      </c>
      <c r="F55" s="28">
        <f t="shared" si="4"/>
        <v>130</v>
      </c>
      <c r="G55" s="28">
        <f t="shared" si="4"/>
        <v>46</v>
      </c>
      <c r="H55" s="28">
        <f t="shared" si="4"/>
        <v>33</v>
      </c>
      <c r="I55" s="28">
        <f t="shared" si="4"/>
        <v>21</v>
      </c>
      <c r="J55" s="29">
        <f t="shared" si="4"/>
        <v>8</v>
      </c>
      <c r="K55" s="38"/>
      <c r="L55" s="39"/>
      <c r="M55" s="39"/>
      <c r="N55" s="39"/>
      <c r="O55" s="39"/>
      <c r="P55" s="39"/>
      <c r="Q55" s="39"/>
      <c r="R55" s="39"/>
      <c r="S55" s="39"/>
    </row>
    <row r="56" spans="1:19" s="40" customFormat="1" ht="11.25" customHeight="1">
      <c r="A56" s="6" t="str">
        <f>_xlfn.CUBEMEMBER("walle RP2012",{"[Geographie].[Subdivision].&amp;[5]","[Geographie].[Commune].&amp;[51]"})</f>
        <v>Tatakoto</v>
      </c>
      <c r="B56" s="28">
        <f t="shared" si="2"/>
        <v>217</v>
      </c>
      <c r="C56" s="28">
        <f t="shared" si="4"/>
        <v>108</v>
      </c>
      <c r="D56" s="28">
        <f t="shared" si="4"/>
        <v>36</v>
      </c>
      <c r="E56" s="28">
        <f t="shared" si="4"/>
        <v>33</v>
      </c>
      <c r="F56" s="28">
        <f t="shared" si="4"/>
        <v>19</v>
      </c>
      <c r="G56" s="28">
        <f t="shared" si="4"/>
        <v>3</v>
      </c>
      <c r="H56" s="28">
        <f t="shared" si="4"/>
        <v>9</v>
      </c>
      <c r="I56" s="28">
        <f t="shared" si="4"/>
        <v>5</v>
      </c>
      <c r="J56" s="29">
        <f t="shared" si="4"/>
        <v>4</v>
      </c>
      <c r="K56" s="38"/>
      <c r="L56" s="39"/>
      <c r="M56" s="39"/>
      <c r="N56" s="39"/>
      <c r="O56" s="39"/>
      <c r="P56" s="39"/>
      <c r="Q56" s="39"/>
      <c r="R56" s="39"/>
      <c r="S56" s="39"/>
    </row>
    <row r="57" spans="1:19" s="40" customFormat="1" ht="11.25" customHeight="1">
      <c r="A57" s="12" t="str">
        <f>_xlfn.CUBEMEMBER("walle RP2012",{"[Geographie].[Subdivision].&amp;[5]","[Geographie].[Commune].&amp;[55]"})</f>
        <v>Tureia</v>
      </c>
      <c r="B57" s="32">
        <f t="shared" si="2"/>
        <v>192</v>
      </c>
      <c r="C57" s="32">
        <f t="shared" si="4"/>
        <v>109</v>
      </c>
      <c r="D57" s="32">
        <f t="shared" si="4"/>
        <v>16</v>
      </c>
      <c r="E57" s="32">
        <f t="shared" si="4"/>
        <v>25</v>
      </c>
      <c r="F57" s="32">
        <f t="shared" si="4"/>
        <v>26</v>
      </c>
      <c r="G57" s="32">
        <f t="shared" si="4"/>
        <v>2</v>
      </c>
      <c r="H57" s="32">
        <f t="shared" si="4"/>
        <v>8</v>
      </c>
      <c r="I57" s="32">
        <f t="shared" si="4"/>
        <v>5</v>
      </c>
      <c r="J57" s="33">
        <f t="shared" si="4"/>
        <v>1</v>
      </c>
      <c r="K57" s="38"/>
      <c r="L57" s="39"/>
      <c r="M57" s="39"/>
      <c r="N57" s="39"/>
      <c r="O57" s="39"/>
      <c r="P57" s="39"/>
      <c r="Q57" s="39"/>
      <c r="R57" s="39"/>
      <c r="S57" s="39"/>
    </row>
    <row r="58" spans="1:10" ht="15">
      <c r="A58" s="1"/>
      <c r="J58" s="10" t="s">
        <v>2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G4" sqref="G4"/>
    </sheetView>
  </sheetViews>
  <sheetFormatPr defaultColWidth="11.421875" defaultRowHeight="15"/>
  <cols>
    <col min="1" max="1" width="13.7109375" style="0" customWidth="1"/>
    <col min="2" max="2" width="7.421875" style="0" customWidth="1"/>
    <col min="3" max="3" width="8.140625" style="0" customWidth="1"/>
    <col min="4" max="4" width="8.421875" style="0" customWidth="1"/>
    <col min="5" max="5" width="6.57421875" style="0" customWidth="1"/>
    <col min="6" max="6" width="7.28125" style="0" customWidth="1"/>
    <col min="7" max="7" width="6.421875" style="0" customWidth="1"/>
    <col min="8" max="8" width="12.140625" style="0" customWidth="1"/>
    <col min="9" max="9" width="12.57421875" style="0" bestFit="1" customWidth="1"/>
  </cols>
  <sheetData>
    <row r="1" spans="1:8" ht="40.5" customHeight="1">
      <c r="A1" s="54" t="s">
        <v>8</v>
      </c>
      <c r="B1" s="54"/>
      <c r="C1" s="54"/>
      <c r="D1" s="54"/>
      <c r="E1" s="54"/>
      <c r="F1" s="54"/>
      <c r="G1" s="54"/>
      <c r="H1" s="54"/>
    </row>
    <row r="2" spans="1:8" ht="38.25" customHeight="1">
      <c r="A2" s="2" t="str">
        <f>_xlfn.CUBEMEMBER("walle RP2012","[Measures].[Individus de 15 ans et plus]","Sexe et âge")</f>
        <v>Sexe et âge</v>
      </c>
      <c r="B2" s="15" t="str">
        <f>_xlfn.CUBEMEMBER("walle RP2012","[Individus].[Dernier Diplôme Obtenu].[All]","Ensemble")</f>
        <v>Ensemble</v>
      </c>
      <c r="C2" s="15" t="str">
        <f>_xlfn.CUBEMEMBER("walle RP2012","[Individus].[Niveau études].&amp;[1]")</f>
        <v>Aucune scolarité</v>
      </c>
      <c r="D2" s="15" t="str">
        <f>_xlfn.CUBEMEMBER("walle RP2012","[Individus].[Niveau études].&amp;[2]")</f>
        <v>Ecole primaire</v>
      </c>
      <c r="E2" s="15" t="str">
        <f>_xlfn.CUBEMEMBER("walle RP2012","[Individus].[Niveau études].&amp;[3]")</f>
        <v>Collège</v>
      </c>
      <c r="F2" s="15" t="str">
        <f>_xlfn.CUBEMEMBER("walle RP2012","[Individus].[Niveau études].&amp;[4]")</f>
        <v>CAP-BEP</v>
      </c>
      <c r="G2" s="15" t="str">
        <f>_xlfn.CUBEMEMBER("walle RP2012","[Individus].[Niveau études].&amp;[5]")</f>
        <v>Lycée</v>
      </c>
      <c r="H2" s="16" t="str">
        <f>_xlfn.CUBEMEMBER("walle RP2012","[Individus].[Niveau études].&amp;[6]")</f>
        <v>Etudes supérieures (facultés, IUT..).</v>
      </c>
    </row>
    <row r="3" spans="1:8" ht="15">
      <c r="A3" s="17" t="str">
        <f>_xlfn.CUBEMEMBER("walle RP2012","[Individus].[Age quinquennal].[All]","Ensemble")</f>
        <v>Ensemble</v>
      </c>
      <c r="B3" s="18">
        <f aca="true" t="shared" si="0" ref="B3:H12">_xlfn.CUBEVALUE("walle RP2012",$A$2,$A3,B$2)</f>
        <v>202825</v>
      </c>
      <c r="C3" s="18">
        <f t="shared" si="0"/>
        <v>7386</v>
      </c>
      <c r="D3" s="18">
        <f t="shared" si="0"/>
        <v>35024</v>
      </c>
      <c r="E3" s="18">
        <f t="shared" si="0"/>
        <v>50412</v>
      </c>
      <c r="F3" s="18">
        <f t="shared" si="0"/>
        <v>39378</v>
      </c>
      <c r="G3" s="18">
        <f t="shared" si="0"/>
        <v>34557</v>
      </c>
      <c r="H3" s="19">
        <f t="shared" si="0"/>
        <v>36068</v>
      </c>
    </row>
    <row r="4" spans="1:8" ht="15">
      <c r="A4" s="6" t="str">
        <f>_xlfn.CUBEMEMBER("walle RP2012","[Individus].[Age quinquennal].[Age quinquennal 80].&amp;[3]")</f>
        <v>15-19 ans</v>
      </c>
      <c r="B4" s="20">
        <f t="shared" si="0"/>
        <v>23048</v>
      </c>
      <c r="C4" s="20">
        <f t="shared" si="0"/>
        <v>143</v>
      </c>
      <c r="D4" s="20">
        <f t="shared" si="0"/>
        <v>596</v>
      </c>
      <c r="E4" s="20">
        <f t="shared" si="0"/>
        <v>7740</v>
      </c>
      <c r="F4" s="20">
        <f t="shared" si="0"/>
        <v>3862</v>
      </c>
      <c r="G4" s="20">
        <f t="shared" si="0"/>
        <v>8849</v>
      </c>
      <c r="H4" s="21">
        <f t="shared" si="0"/>
        <v>1858</v>
      </c>
    </row>
    <row r="5" spans="1:8" ht="15">
      <c r="A5" s="6" t="str">
        <f>_xlfn.CUBEMEMBER("walle RP2012","[Individus].[Age quinquennal].[Age quinquennal 80].&amp;[4]")</f>
        <v>20-24 ans</v>
      </c>
      <c r="B5" s="20">
        <f t="shared" si="0"/>
        <v>22884</v>
      </c>
      <c r="C5" s="20">
        <f t="shared" si="0"/>
        <v>219</v>
      </c>
      <c r="D5" s="20">
        <f t="shared" si="0"/>
        <v>923</v>
      </c>
      <c r="E5" s="20">
        <f t="shared" si="0"/>
        <v>5905</v>
      </c>
      <c r="F5" s="20">
        <f t="shared" si="0"/>
        <v>5210</v>
      </c>
      <c r="G5" s="20">
        <f t="shared" si="0"/>
        <v>5443</v>
      </c>
      <c r="H5" s="21">
        <f t="shared" si="0"/>
        <v>5184</v>
      </c>
    </row>
    <row r="6" spans="1:8" ht="15">
      <c r="A6" s="6" t="str">
        <f>_xlfn.CUBEMEMBER("walle RP2012","[Individus].[Age quinquennal].[Age quinquennal 80].&amp;[5]")</f>
        <v>25-29 ans</v>
      </c>
      <c r="B6" s="20">
        <f t="shared" si="0"/>
        <v>22280</v>
      </c>
      <c r="C6" s="20">
        <f t="shared" si="0"/>
        <v>270</v>
      </c>
      <c r="D6" s="20">
        <f t="shared" si="0"/>
        <v>1186</v>
      </c>
      <c r="E6" s="20">
        <f t="shared" si="0"/>
        <v>5599</v>
      </c>
      <c r="F6" s="20">
        <f t="shared" si="0"/>
        <v>5188</v>
      </c>
      <c r="G6" s="20">
        <f t="shared" si="0"/>
        <v>4774</v>
      </c>
      <c r="H6" s="21">
        <f t="shared" si="0"/>
        <v>5263</v>
      </c>
    </row>
    <row r="7" spans="1:8" ht="15">
      <c r="A7" s="6" t="str">
        <f>_xlfn.CUBEMEMBER("walle RP2012","[Individus].[Age quinquennal].[Age quinquennal 80].&amp;[6]")</f>
        <v>30-34 ans</v>
      </c>
      <c r="B7" s="20">
        <f t="shared" si="0"/>
        <v>20218</v>
      </c>
      <c r="C7" s="20">
        <f t="shared" si="0"/>
        <v>285</v>
      </c>
      <c r="D7" s="20">
        <f t="shared" si="0"/>
        <v>1650</v>
      </c>
      <c r="E7" s="20">
        <f t="shared" si="0"/>
        <v>4919</v>
      </c>
      <c r="F7" s="20">
        <f t="shared" si="0"/>
        <v>4635</v>
      </c>
      <c r="G7" s="20">
        <f t="shared" si="0"/>
        <v>4025</v>
      </c>
      <c r="H7" s="21">
        <f t="shared" si="0"/>
        <v>4704</v>
      </c>
    </row>
    <row r="8" spans="1:8" ht="15">
      <c r="A8" s="6" t="str">
        <f>_xlfn.CUBEMEMBER("walle RP2012","[Individus].[Age quinquennal].[Age quinquennal 80].&amp;[7]")</f>
        <v>35-39 ans</v>
      </c>
      <c r="B8" s="20">
        <f t="shared" si="0"/>
        <v>19792</v>
      </c>
      <c r="C8" s="20">
        <f t="shared" si="0"/>
        <v>376</v>
      </c>
      <c r="D8" s="20">
        <f t="shared" si="0"/>
        <v>2480</v>
      </c>
      <c r="E8" s="20">
        <f t="shared" si="0"/>
        <v>5072</v>
      </c>
      <c r="F8" s="20">
        <f t="shared" si="0"/>
        <v>4213</v>
      </c>
      <c r="G8" s="20">
        <f t="shared" si="0"/>
        <v>3091</v>
      </c>
      <c r="H8" s="21">
        <f t="shared" si="0"/>
        <v>4560</v>
      </c>
    </row>
    <row r="9" spans="1:8" ht="15">
      <c r="A9" s="6" t="str">
        <f>_xlfn.CUBEMEMBER("walle RP2012","[Individus].[Age quinquennal].[Age quinquennal 80].&amp;[8]")</f>
        <v>40-44 ans</v>
      </c>
      <c r="B9" s="20">
        <f t="shared" si="0"/>
        <v>20525</v>
      </c>
      <c r="C9" s="20">
        <f t="shared" si="0"/>
        <v>483</v>
      </c>
      <c r="D9" s="20">
        <f t="shared" si="0"/>
        <v>3463</v>
      </c>
      <c r="E9" s="20">
        <f t="shared" si="0"/>
        <v>5644</v>
      </c>
      <c r="F9" s="20">
        <f t="shared" si="0"/>
        <v>4383</v>
      </c>
      <c r="G9" s="20">
        <f t="shared" si="0"/>
        <v>2487</v>
      </c>
      <c r="H9" s="21">
        <f t="shared" si="0"/>
        <v>4065</v>
      </c>
    </row>
    <row r="10" spans="1:8" ht="15">
      <c r="A10" s="6" t="str">
        <f>_xlfn.CUBEMEMBER("walle RP2012","[Individus].[Age quinquennal].[Age quinquennal 80].&amp;[9]")</f>
        <v>45-49 ans</v>
      </c>
      <c r="B10" s="20">
        <f t="shared" si="0"/>
        <v>18962</v>
      </c>
      <c r="C10" s="20">
        <f t="shared" si="0"/>
        <v>527</v>
      </c>
      <c r="D10" s="20">
        <f t="shared" si="0"/>
        <v>4534</v>
      </c>
      <c r="E10" s="20">
        <f t="shared" si="0"/>
        <v>4608</v>
      </c>
      <c r="F10" s="20">
        <f t="shared" si="0"/>
        <v>4180</v>
      </c>
      <c r="G10" s="20">
        <f t="shared" si="0"/>
        <v>1981</v>
      </c>
      <c r="H10" s="21">
        <f t="shared" si="0"/>
        <v>3132</v>
      </c>
    </row>
    <row r="11" spans="1:8" ht="15">
      <c r="A11" s="6" t="str">
        <f>_xlfn.CUBEMEMBER("walle RP2012","[Individus].[Age quinquennal].[Age quinquennal 80].&amp;[10]")</f>
        <v>50-54 ans</v>
      </c>
      <c r="B11" s="20">
        <f t="shared" si="0"/>
        <v>15313</v>
      </c>
      <c r="C11" s="20">
        <f t="shared" si="0"/>
        <v>681</v>
      </c>
      <c r="D11" s="20">
        <f t="shared" si="0"/>
        <v>4330</v>
      </c>
      <c r="E11" s="20">
        <f t="shared" si="0"/>
        <v>3439</v>
      </c>
      <c r="F11" s="20">
        <f t="shared" si="0"/>
        <v>2974</v>
      </c>
      <c r="G11" s="20">
        <f t="shared" si="0"/>
        <v>1476</v>
      </c>
      <c r="H11" s="21">
        <f t="shared" si="0"/>
        <v>2413</v>
      </c>
    </row>
    <row r="12" spans="1:8" ht="15">
      <c r="A12" s="6" t="str">
        <f>_xlfn.CUBEMEMBER("walle RP2012","[Individus].[Age quinquennal].[Age quinquennal 80].&amp;[11]")</f>
        <v>55-59 ans</v>
      </c>
      <c r="B12" s="20">
        <f t="shared" si="0"/>
        <v>12668</v>
      </c>
      <c r="C12" s="20">
        <f t="shared" si="0"/>
        <v>660</v>
      </c>
      <c r="D12" s="20">
        <f t="shared" si="0"/>
        <v>4179</v>
      </c>
      <c r="E12" s="20">
        <f t="shared" si="0"/>
        <v>2808</v>
      </c>
      <c r="F12" s="20">
        <f t="shared" si="0"/>
        <v>2109</v>
      </c>
      <c r="G12" s="20">
        <f t="shared" si="0"/>
        <v>1095</v>
      </c>
      <c r="H12" s="21">
        <f t="shared" si="0"/>
        <v>1817</v>
      </c>
    </row>
    <row r="13" spans="1:8" ht="15">
      <c r="A13" s="6" t="str">
        <f>_xlfn.CUBEMEMBER("walle RP2012","[Individus].[Age quinquennal].[Age quinquennal 80].&amp;[12]")</f>
        <v>60-64 ans</v>
      </c>
      <c r="B13" s="20">
        <f aca="true" t="shared" si="1" ref="B13:H22">_xlfn.CUBEVALUE("walle RP2012",$A$2,$A13,B$2)</f>
        <v>9085</v>
      </c>
      <c r="C13" s="20">
        <f t="shared" si="1"/>
        <v>640</v>
      </c>
      <c r="D13" s="20">
        <f t="shared" si="1"/>
        <v>3301</v>
      </c>
      <c r="E13" s="20">
        <f t="shared" si="1"/>
        <v>1973</v>
      </c>
      <c r="F13" s="20">
        <f t="shared" si="1"/>
        <v>1212</v>
      </c>
      <c r="G13" s="20">
        <f t="shared" si="1"/>
        <v>598</v>
      </c>
      <c r="H13" s="21">
        <f t="shared" si="1"/>
        <v>1361</v>
      </c>
    </row>
    <row r="14" spans="1:8" ht="15">
      <c r="A14" s="6" t="str">
        <f>_xlfn.CUBEMEMBER("walle RP2012","[Individus].[Age quinquennal].[Age quinquennal 80].&amp;[13]")</f>
        <v>65-69 ans</v>
      </c>
      <c r="B14" s="20">
        <f t="shared" si="1"/>
        <v>6862</v>
      </c>
      <c r="C14" s="20">
        <f t="shared" si="1"/>
        <v>725</v>
      </c>
      <c r="D14" s="20">
        <f t="shared" si="1"/>
        <v>3002</v>
      </c>
      <c r="E14" s="20">
        <f t="shared" si="1"/>
        <v>1141</v>
      </c>
      <c r="F14" s="20">
        <f t="shared" si="1"/>
        <v>741</v>
      </c>
      <c r="G14" s="20">
        <f t="shared" si="1"/>
        <v>388</v>
      </c>
      <c r="H14" s="21">
        <f t="shared" si="1"/>
        <v>865</v>
      </c>
    </row>
    <row r="15" spans="1:8" ht="15">
      <c r="A15" s="6" t="str">
        <f>_xlfn.CUBEMEMBER("walle RP2012","[Individus].[Age quinquennal].[Age quinquennal 80].&amp;[14]")</f>
        <v>70-74 ans</v>
      </c>
      <c r="B15" s="20">
        <f t="shared" si="1"/>
        <v>5015</v>
      </c>
      <c r="C15" s="20">
        <f t="shared" si="1"/>
        <v>816</v>
      </c>
      <c r="D15" s="20">
        <f t="shared" si="1"/>
        <v>2456</v>
      </c>
      <c r="E15" s="20">
        <f t="shared" si="1"/>
        <v>784</v>
      </c>
      <c r="F15" s="20">
        <f t="shared" si="1"/>
        <v>339</v>
      </c>
      <c r="G15" s="20">
        <f t="shared" si="1"/>
        <v>173</v>
      </c>
      <c r="H15" s="21">
        <f t="shared" si="1"/>
        <v>447</v>
      </c>
    </row>
    <row r="16" spans="1:8" ht="15">
      <c r="A16" s="6" t="str">
        <f>_xlfn.CUBEMEMBER("walle RP2012","[Individus].[Age quinquennal].[Age quinquennal 80].&amp;[15]")</f>
        <v>75-79 ans</v>
      </c>
      <c r="B16" s="20">
        <f t="shared" si="1"/>
        <v>3340</v>
      </c>
      <c r="C16" s="20">
        <f t="shared" si="1"/>
        <v>737</v>
      </c>
      <c r="D16" s="20">
        <f t="shared" si="1"/>
        <v>1623</v>
      </c>
      <c r="E16" s="20">
        <f t="shared" si="1"/>
        <v>446</v>
      </c>
      <c r="F16" s="20">
        <f t="shared" si="1"/>
        <v>199</v>
      </c>
      <c r="G16" s="20">
        <f t="shared" si="1"/>
        <v>102</v>
      </c>
      <c r="H16" s="21">
        <f t="shared" si="1"/>
        <v>233</v>
      </c>
    </row>
    <row r="17" spans="1:8" ht="15">
      <c r="A17" s="6" t="str">
        <f>_xlfn.CUBEMEMBER("walle RP2012","[Individus].[Age quinquennal].[Age quinquennal 80].&amp;[16]")</f>
        <v>80 ans et plus</v>
      </c>
      <c r="B17" s="20">
        <f t="shared" si="1"/>
        <v>2833</v>
      </c>
      <c r="C17" s="20">
        <f t="shared" si="1"/>
        <v>824</v>
      </c>
      <c r="D17" s="20">
        <f t="shared" si="1"/>
        <v>1301</v>
      </c>
      <c r="E17" s="20">
        <f t="shared" si="1"/>
        <v>334</v>
      </c>
      <c r="F17" s="20">
        <f t="shared" si="1"/>
        <v>133</v>
      </c>
      <c r="G17" s="20">
        <f t="shared" si="1"/>
        <v>75</v>
      </c>
      <c r="H17" s="21">
        <f t="shared" si="1"/>
        <v>166</v>
      </c>
    </row>
    <row r="18" spans="1:8" ht="15">
      <c r="A18" s="17" t="str">
        <f>_xlfn.CUBEMEMBER("walle RP2012","[Individus].[Sexe].&amp;[1]")</f>
        <v>Hommes</v>
      </c>
      <c r="B18" s="18">
        <f t="shared" si="1"/>
        <v>103385</v>
      </c>
      <c r="C18" s="18">
        <f t="shared" si="1"/>
        <v>3939</v>
      </c>
      <c r="D18" s="18">
        <f t="shared" si="1"/>
        <v>19660</v>
      </c>
      <c r="E18" s="18">
        <f t="shared" si="1"/>
        <v>26244</v>
      </c>
      <c r="F18" s="18">
        <f t="shared" si="1"/>
        <v>20883</v>
      </c>
      <c r="G18" s="18">
        <f t="shared" si="1"/>
        <v>15982</v>
      </c>
      <c r="H18" s="19">
        <f t="shared" si="1"/>
        <v>16677</v>
      </c>
    </row>
    <row r="19" spans="1:8" ht="15">
      <c r="A19" s="6" t="str">
        <f>_xlfn.CUBEMEMBER("walle RP2012",{"[Individus].[Sexe].&amp;[1]","[Individus].[Age quinquennal].[Age quinquennal 80].&amp;[3]"})</f>
        <v>15-19 ans</v>
      </c>
      <c r="B19" s="20">
        <f t="shared" si="1"/>
        <v>11860</v>
      </c>
      <c r="C19" s="20">
        <f t="shared" si="1"/>
        <v>91</v>
      </c>
      <c r="D19" s="20">
        <f t="shared" si="1"/>
        <v>428</v>
      </c>
      <c r="E19" s="20">
        <f t="shared" si="1"/>
        <v>4440</v>
      </c>
      <c r="F19" s="20">
        <f t="shared" si="1"/>
        <v>2172</v>
      </c>
      <c r="G19" s="20">
        <f t="shared" si="1"/>
        <v>4062</v>
      </c>
      <c r="H19" s="21">
        <f t="shared" si="1"/>
        <v>667</v>
      </c>
    </row>
    <row r="20" spans="1:8" ht="15">
      <c r="A20" s="6" t="str">
        <f>_xlfn.CUBEMEMBER("walle RP2012",{"[Individus].[Sexe].&amp;[1]","[Individus].[Age quinquennal].[Age quinquennal 80].&amp;[4]"})</f>
        <v>20-24 ans</v>
      </c>
      <c r="B20" s="20">
        <f t="shared" si="1"/>
        <v>11578</v>
      </c>
      <c r="C20" s="20">
        <f t="shared" si="1"/>
        <v>144</v>
      </c>
      <c r="D20" s="20">
        <f t="shared" si="1"/>
        <v>619</v>
      </c>
      <c r="E20" s="20">
        <f t="shared" si="1"/>
        <v>3333</v>
      </c>
      <c r="F20" s="20">
        <f t="shared" si="1"/>
        <v>2870</v>
      </c>
      <c r="G20" s="20">
        <f t="shared" si="1"/>
        <v>2619</v>
      </c>
      <c r="H20" s="21">
        <f t="shared" si="1"/>
        <v>1993</v>
      </c>
    </row>
    <row r="21" spans="1:8" ht="15">
      <c r="A21" s="6" t="str">
        <f>_xlfn.CUBEMEMBER("walle RP2012",{"[Individus].[Sexe].&amp;[1]","[Individus].[Age quinquennal].[Age quinquennal 80].&amp;[5]"})</f>
        <v>25-29 ans</v>
      </c>
      <c r="B21" s="20">
        <f t="shared" si="1"/>
        <v>11093</v>
      </c>
      <c r="C21" s="20">
        <f t="shared" si="1"/>
        <v>162</v>
      </c>
      <c r="D21" s="20">
        <f t="shared" si="1"/>
        <v>843</v>
      </c>
      <c r="E21" s="20">
        <f t="shared" si="1"/>
        <v>3189</v>
      </c>
      <c r="F21" s="20">
        <f t="shared" si="1"/>
        <v>2766</v>
      </c>
      <c r="G21" s="20">
        <f t="shared" si="1"/>
        <v>2089</v>
      </c>
      <c r="H21" s="21">
        <f t="shared" si="1"/>
        <v>2044</v>
      </c>
    </row>
    <row r="22" spans="1:8" ht="15">
      <c r="A22" s="6" t="str">
        <f>_xlfn.CUBEMEMBER("walle RP2012",{"[Individus].[Sexe].&amp;[1]","[Individus].[Age quinquennal].[Age quinquennal 80].&amp;[6]"})</f>
        <v>30-34 ans</v>
      </c>
      <c r="B22" s="20">
        <f t="shared" si="1"/>
        <v>10213</v>
      </c>
      <c r="C22" s="20">
        <f t="shared" si="1"/>
        <v>184</v>
      </c>
      <c r="D22" s="20">
        <f t="shared" si="1"/>
        <v>1119</v>
      </c>
      <c r="E22" s="20">
        <f t="shared" si="1"/>
        <v>2642</v>
      </c>
      <c r="F22" s="20">
        <f t="shared" si="1"/>
        <v>2524</v>
      </c>
      <c r="G22" s="20">
        <f t="shared" si="1"/>
        <v>1788</v>
      </c>
      <c r="H22" s="21">
        <f t="shared" si="1"/>
        <v>1956</v>
      </c>
    </row>
    <row r="23" spans="1:8" ht="15">
      <c r="A23" s="6" t="str">
        <f>_xlfn.CUBEMEMBER("walle RP2012",{"[Individus].[Sexe].&amp;[1]","[Individus].[Age quinquennal].[Age quinquennal 80].&amp;[7]"})</f>
        <v>35-39 ans</v>
      </c>
      <c r="B23" s="20">
        <f aca="true" t="shared" si="2" ref="B23:H32">_xlfn.CUBEVALUE("walle RP2012",$A$2,$A23,B$2)</f>
        <v>10085</v>
      </c>
      <c r="C23" s="20">
        <f t="shared" si="2"/>
        <v>221</v>
      </c>
      <c r="D23" s="20">
        <f t="shared" si="2"/>
        <v>1630</v>
      </c>
      <c r="E23" s="20">
        <f t="shared" si="2"/>
        <v>2582</v>
      </c>
      <c r="F23" s="20">
        <f t="shared" si="2"/>
        <v>2190</v>
      </c>
      <c r="G23" s="20">
        <f t="shared" si="2"/>
        <v>1387</v>
      </c>
      <c r="H23" s="21">
        <f t="shared" si="2"/>
        <v>2075</v>
      </c>
    </row>
    <row r="24" spans="1:8" ht="15">
      <c r="A24" s="6" t="str">
        <f>_xlfn.CUBEMEMBER("walle RP2012",{"[Individus].[Sexe].&amp;[1]","[Individus].[Age quinquennal].[Age quinquennal 80].&amp;[8]"})</f>
        <v>40-44 ans</v>
      </c>
      <c r="B24" s="20">
        <f t="shared" si="2"/>
        <v>10605</v>
      </c>
      <c r="C24" s="20">
        <f t="shared" si="2"/>
        <v>299</v>
      </c>
      <c r="D24" s="20">
        <f t="shared" si="2"/>
        <v>2161</v>
      </c>
      <c r="E24" s="20">
        <f t="shared" si="2"/>
        <v>2829</v>
      </c>
      <c r="F24" s="20">
        <f t="shared" si="2"/>
        <v>2254</v>
      </c>
      <c r="G24" s="20">
        <f t="shared" si="2"/>
        <v>1078</v>
      </c>
      <c r="H24" s="21">
        <f t="shared" si="2"/>
        <v>1984</v>
      </c>
    </row>
    <row r="25" spans="1:8" ht="15">
      <c r="A25" s="6" t="str">
        <f>_xlfn.CUBEMEMBER("walle RP2012",{"[Individus].[Sexe].&amp;[1]","[Individus].[Age quinquennal].[Age quinquennal 80].&amp;[9]"})</f>
        <v>45-49 ans</v>
      </c>
      <c r="B25" s="20">
        <f t="shared" si="2"/>
        <v>9839</v>
      </c>
      <c r="C25" s="20">
        <f t="shared" si="2"/>
        <v>328</v>
      </c>
      <c r="D25" s="20">
        <f t="shared" si="2"/>
        <v>2677</v>
      </c>
      <c r="E25" s="20">
        <f t="shared" si="2"/>
        <v>2198</v>
      </c>
      <c r="F25" s="20">
        <f t="shared" si="2"/>
        <v>2107</v>
      </c>
      <c r="G25" s="20">
        <f t="shared" si="2"/>
        <v>907</v>
      </c>
      <c r="H25" s="21">
        <f t="shared" si="2"/>
        <v>1622</v>
      </c>
    </row>
    <row r="26" spans="1:8" ht="15">
      <c r="A26" s="6" t="str">
        <f>_xlfn.CUBEMEMBER("walle RP2012",{"[Individus].[Sexe].&amp;[1]","[Individus].[Age quinquennal].[Age quinquennal 80].&amp;[10]"})</f>
        <v>50-54 ans</v>
      </c>
      <c r="B26" s="20">
        <f t="shared" si="2"/>
        <v>8040</v>
      </c>
      <c r="C26" s="20">
        <f t="shared" si="2"/>
        <v>406</v>
      </c>
      <c r="D26" s="20">
        <f t="shared" si="2"/>
        <v>2459</v>
      </c>
      <c r="E26" s="20">
        <f t="shared" si="2"/>
        <v>1617</v>
      </c>
      <c r="F26" s="20">
        <f t="shared" si="2"/>
        <v>1531</v>
      </c>
      <c r="G26" s="20">
        <f t="shared" si="2"/>
        <v>723</v>
      </c>
      <c r="H26" s="21">
        <f t="shared" si="2"/>
        <v>1304</v>
      </c>
    </row>
    <row r="27" spans="1:8" ht="15">
      <c r="A27" s="6" t="str">
        <f>_xlfn.CUBEMEMBER("walle RP2012",{"[Individus].[Sexe].&amp;[1]","[Individus].[Age quinquennal].[Age quinquennal 80].&amp;[11]"})</f>
        <v>55-59 ans</v>
      </c>
      <c r="B27" s="20">
        <f t="shared" si="2"/>
        <v>6592</v>
      </c>
      <c r="C27" s="20">
        <f t="shared" si="2"/>
        <v>371</v>
      </c>
      <c r="D27" s="20">
        <f t="shared" si="2"/>
        <v>2291</v>
      </c>
      <c r="E27" s="20">
        <f t="shared" si="2"/>
        <v>1287</v>
      </c>
      <c r="F27" s="20">
        <f t="shared" si="2"/>
        <v>1042</v>
      </c>
      <c r="G27" s="20">
        <f t="shared" si="2"/>
        <v>578</v>
      </c>
      <c r="H27" s="21">
        <f t="shared" si="2"/>
        <v>1023</v>
      </c>
    </row>
    <row r="28" spans="1:8" ht="15">
      <c r="A28" s="6" t="str">
        <f>_xlfn.CUBEMEMBER("walle RP2012",{"[Individus].[Sexe].&amp;[1]","[Individus].[Age quinquennal].[Age quinquennal 80].&amp;[12]"})</f>
        <v>60-64 ans</v>
      </c>
      <c r="B28" s="20">
        <f t="shared" si="2"/>
        <v>4686</v>
      </c>
      <c r="C28" s="20">
        <f t="shared" si="2"/>
        <v>320</v>
      </c>
      <c r="D28" s="20">
        <f t="shared" si="2"/>
        <v>1698</v>
      </c>
      <c r="E28" s="20">
        <f t="shared" si="2"/>
        <v>872</v>
      </c>
      <c r="F28" s="20">
        <f t="shared" si="2"/>
        <v>629</v>
      </c>
      <c r="G28" s="20">
        <f t="shared" si="2"/>
        <v>329</v>
      </c>
      <c r="H28" s="21">
        <f t="shared" si="2"/>
        <v>838</v>
      </c>
    </row>
    <row r="29" spans="1:8" ht="15">
      <c r="A29" s="6" t="str">
        <f>_xlfn.CUBEMEMBER("walle RP2012",{"[Individus].[Sexe].&amp;[1]","[Individus].[Age quinquennal].[Age quinquennal 80].&amp;[13]"})</f>
        <v>65-69 ans</v>
      </c>
      <c r="B29" s="20">
        <f t="shared" si="2"/>
        <v>3522</v>
      </c>
      <c r="C29" s="20">
        <f t="shared" si="2"/>
        <v>387</v>
      </c>
      <c r="D29" s="20">
        <f t="shared" si="2"/>
        <v>1379</v>
      </c>
      <c r="E29" s="20">
        <f t="shared" si="2"/>
        <v>529</v>
      </c>
      <c r="F29" s="20">
        <f t="shared" si="2"/>
        <v>437</v>
      </c>
      <c r="G29" s="20">
        <f t="shared" si="2"/>
        <v>221</v>
      </c>
      <c r="H29" s="21">
        <f t="shared" si="2"/>
        <v>569</v>
      </c>
    </row>
    <row r="30" spans="1:8" ht="15">
      <c r="A30" s="6" t="str">
        <f>_xlfn.CUBEMEMBER("walle RP2012",{"[Individus].[Sexe].&amp;[1]","[Individus].[Age quinquennal].[Age quinquennal 80].&amp;[14]"})</f>
        <v>70-74 ans</v>
      </c>
      <c r="B30" s="20">
        <f t="shared" si="2"/>
        <v>2521</v>
      </c>
      <c r="C30" s="20">
        <f t="shared" si="2"/>
        <v>388</v>
      </c>
      <c r="D30" s="20">
        <f t="shared" si="2"/>
        <v>1163</v>
      </c>
      <c r="E30" s="20">
        <f t="shared" si="2"/>
        <v>378</v>
      </c>
      <c r="F30" s="20">
        <f t="shared" si="2"/>
        <v>187</v>
      </c>
      <c r="G30" s="20">
        <f t="shared" si="2"/>
        <v>96</v>
      </c>
      <c r="H30" s="21">
        <f t="shared" si="2"/>
        <v>309</v>
      </c>
    </row>
    <row r="31" spans="1:8" ht="15">
      <c r="A31" s="6" t="str">
        <f>_xlfn.CUBEMEMBER("walle RP2012",{"[Individus].[Sexe].&amp;[1]","[Individus].[Age quinquennal].[Age quinquennal 80].&amp;[15]"})</f>
        <v>75-79 ans</v>
      </c>
      <c r="B31" s="20">
        <f t="shared" si="2"/>
        <v>1573</v>
      </c>
      <c r="C31" s="20">
        <f t="shared" si="2"/>
        <v>329</v>
      </c>
      <c r="D31" s="20">
        <f t="shared" si="2"/>
        <v>694</v>
      </c>
      <c r="E31" s="20">
        <f t="shared" si="2"/>
        <v>204</v>
      </c>
      <c r="F31" s="20">
        <f t="shared" si="2"/>
        <v>115</v>
      </c>
      <c r="G31" s="20">
        <f t="shared" si="2"/>
        <v>65</v>
      </c>
      <c r="H31" s="21">
        <f t="shared" si="2"/>
        <v>166</v>
      </c>
    </row>
    <row r="32" spans="1:8" ht="15">
      <c r="A32" s="6" t="str">
        <f>_xlfn.CUBEMEMBER("walle RP2012",{"[Individus].[Sexe].&amp;[1]","[Individus].[Age quinquennal].[Age quinquennal 80].&amp;[16]"})</f>
        <v>80 ans et plus</v>
      </c>
      <c r="B32" s="20">
        <f t="shared" si="2"/>
        <v>1178</v>
      </c>
      <c r="C32" s="20">
        <f t="shared" si="2"/>
        <v>309</v>
      </c>
      <c r="D32" s="20">
        <f t="shared" si="2"/>
        <v>499</v>
      </c>
      <c r="E32" s="20">
        <f t="shared" si="2"/>
        <v>144</v>
      </c>
      <c r="F32" s="20">
        <f t="shared" si="2"/>
        <v>59</v>
      </c>
      <c r="G32" s="20">
        <f t="shared" si="2"/>
        <v>40</v>
      </c>
      <c r="H32" s="21">
        <f t="shared" si="2"/>
        <v>127</v>
      </c>
    </row>
    <row r="33" spans="1:8" ht="15">
      <c r="A33" s="17" t="str">
        <f>_xlfn.CUBEMEMBER("walle RP2012","[Individus].[Sexe].&amp;[2]")</f>
        <v>Femmes</v>
      </c>
      <c r="B33" s="18">
        <f aca="true" t="shared" si="3" ref="B33:H47">_xlfn.CUBEVALUE("walle RP2012",$A$2,$A33,B$2)</f>
        <v>99440</v>
      </c>
      <c r="C33" s="18">
        <f t="shared" si="3"/>
        <v>3447</v>
      </c>
      <c r="D33" s="18">
        <f t="shared" si="3"/>
        <v>15364</v>
      </c>
      <c r="E33" s="18">
        <f t="shared" si="3"/>
        <v>24168</v>
      </c>
      <c r="F33" s="18">
        <f t="shared" si="3"/>
        <v>18495</v>
      </c>
      <c r="G33" s="18">
        <f t="shared" si="3"/>
        <v>18575</v>
      </c>
      <c r="H33" s="19">
        <f t="shared" si="3"/>
        <v>19391</v>
      </c>
    </row>
    <row r="34" spans="1:8" ht="15">
      <c r="A34" s="6" t="str">
        <f>_xlfn.CUBEMEMBER("walle RP2012",{"[Individus].[Sexe].&amp;[2]","[Individus].[Age quinquennal].[Age quinquennal 80].&amp;[3]"})</f>
        <v>15-19 ans</v>
      </c>
      <c r="B34" s="20">
        <f t="shared" si="3"/>
        <v>11188</v>
      </c>
      <c r="C34" s="20">
        <f t="shared" si="3"/>
        <v>52</v>
      </c>
      <c r="D34" s="20">
        <f t="shared" si="3"/>
        <v>168</v>
      </c>
      <c r="E34" s="20">
        <f t="shared" si="3"/>
        <v>3300</v>
      </c>
      <c r="F34" s="20">
        <f t="shared" si="3"/>
        <v>1690</v>
      </c>
      <c r="G34" s="20">
        <f t="shared" si="3"/>
        <v>4787</v>
      </c>
      <c r="H34" s="21">
        <f t="shared" si="3"/>
        <v>1191</v>
      </c>
    </row>
    <row r="35" spans="1:8" ht="15">
      <c r="A35" s="6" t="str">
        <f>_xlfn.CUBEMEMBER("walle RP2012",{"[Individus].[Sexe].&amp;[2]","[Individus].[Age quinquennal].[Age quinquennal 80].&amp;[4]"})</f>
        <v>20-24 ans</v>
      </c>
      <c r="B35" s="20">
        <f t="shared" si="3"/>
        <v>11306</v>
      </c>
      <c r="C35" s="20">
        <f t="shared" si="3"/>
        <v>75</v>
      </c>
      <c r="D35" s="20">
        <f t="shared" si="3"/>
        <v>304</v>
      </c>
      <c r="E35" s="20">
        <f t="shared" si="3"/>
        <v>2572</v>
      </c>
      <c r="F35" s="20">
        <f t="shared" si="3"/>
        <v>2340</v>
      </c>
      <c r="G35" s="20">
        <f t="shared" si="3"/>
        <v>2824</v>
      </c>
      <c r="H35" s="21">
        <f t="shared" si="3"/>
        <v>3191</v>
      </c>
    </row>
    <row r="36" spans="1:8" ht="15">
      <c r="A36" s="6" t="str">
        <f>_xlfn.CUBEMEMBER("walle RP2012",{"[Individus].[Sexe].&amp;[2]","[Individus].[Age quinquennal].[Age quinquennal 80].&amp;[5]"})</f>
        <v>25-29 ans</v>
      </c>
      <c r="B36" s="20">
        <f t="shared" si="3"/>
        <v>11187</v>
      </c>
      <c r="C36" s="20">
        <f t="shared" si="3"/>
        <v>108</v>
      </c>
      <c r="D36" s="20">
        <f t="shared" si="3"/>
        <v>343</v>
      </c>
      <c r="E36" s="20">
        <f t="shared" si="3"/>
        <v>2410</v>
      </c>
      <c r="F36" s="20">
        <f t="shared" si="3"/>
        <v>2422</v>
      </c>
      <c r="G36" s="20">
        <f t="shared" si="3"/>
        <v>2685</v>
      </c>
      <c r="H36" s="21">
        <f t="shared" si="3"/>
        <v>3219</v>
      </c>
    </row>
    <row r="37" spans="1:8" ht="15">
      <c r="A37" s="6" t="str">
        <f>_xlfn.CUBEMEMBER("walle RP2012",{"[Individus].[Sexe].&amp;[2]","[Individus].[Age quinquennal].[Age quinquennal 80].&amp;[6]"})</f>
        <v>30-34 ans</v>
      </c>
      <c r="B37" s="20">
        <f t="shared" si="3"/>
        <v>10005</v>
      </c>
      <c r="C37" s="20">
        <f t="shared" si="3"/>
        <v>101</v>
      </c>
      <c r="D37" s="20">
        <f t="shared" si="3"/>
        <v>531</v>
      </c>
      <c r="E37" s="20">
        <f t="shared" si="3"/>
        <v>2277</v>
      </c>
      <c r="F37" s="20">
        <f t="shared" si="3"/>
        <v>2111</v>
      </c>
      <c r="G37" s="20">
        <f t="shared" si="3"/>
        <v>2237</v>
      </c>
      <c r="H37" s="21">
        <f t="shared" si="3"/>
        <v>2748</v>
      </c>
    </row>
    <row r="38" spans="1:8" ht="15">
      <c r="A38" s="6" t="str">
        <f>_xlfn.CUBEMEMBER("walle RP2012",{"[Individus].[Sexe].&amp;[2]","[Individus].[Age quinquennal].[Age quinquennal 80].&amp;[7]"})</f>
        <v>35-39 ans</v>
      </c>
      <c r="B38" s="20">
        <f t="shared" si="3"/>
        <v>9707</v>
      </c>
      <c r="C38" s="20">
        <f t="shared" si="3"/>
        <v>155</v>
      </c>
      <c r="D38" s="20">
        <f t="shared" si="3"/>
        <v>850</v>
      </c>
      <c r="E38" s="20">
        <f t="shared" si="3"/>
        <v>2490</v>
      </c>
      <c r="F38" s="20">
        <f t="shared" si="3"/>
        <v>2023</v>
      </c>
      <c r="G38" s="20">
        <f t="shared" si="3"/>
        <v>1704</v>
      </c>
      <c r="H38" s="21">
        <f t="shared" si="3"/>
        <v>2485</v>
      </c>
    </row>
    <row r="39" spans="1:8" ht="15">
      <c r="A39" s="6" t="str">
        <f>_xlfn.CUBEMEMBER("walle RP2012",{"[Individus].[Sexe].&amp;[2]","[Individus].[Age quinquennal].[Age quinquennal 80].&amp;[8]"})</f>
        <v>40-44 ans</v>
      </c>
      <c r="B39" s="20">
        <f t="shared" si="3"/>
        <v>9920</v>
      </c>
      <c r="C39" s="20">
        <f t="shared" si="3"/>
        <v>184</v>
      </c>
      <c r="D39" s="20">
        <f t="shared" si="3"/>
        <v>1302</v>
      </c>
      <c r="E39" s="20">
        <f t="shared" si="3"/>
        <v>2815</v>
      </c>
      <c r="F39" s="20">
        <f t="shared" si="3"/>
        <v>2129</v>
      </c>
      <c r="G39" s="20">
        <f t="shared" si="3"/>
        <v>1409</v>
      </c>
      <c r="H39" s="21">
        <f t="shared" si="3"/>
        <v>2081</v>
      </c>
    </row>
    <row r="40" spans="1:8" ht="15">
      <c r="A40" s="6" t="str">
        <f>_xlfn.CUBEMEMBER("walle RP2012",{"[Individus].[Sexe].&amp;[2]","[Individus].[Age quinquennal].[Age quinquennal 80].&amp;[9]"})</f>
        <v>45-49 ans</v>
      </c>
      <c r="B40" s="20">
        <f t="shared" si="3"/>
        <v>9123</v>
      </c>
      <c r="C40" s="20">
        <f t="shared" si="3"/>
        <v>199</v>
      </c>
      <c r="D40" s="20">
        <f t="shared" si="3"/>
        <v>1857</v>
      </c>
      <c r="E40" s="20">
        <f t="shared" si="3"/>
        <v>2410</v>
      </c>
      <c r="F40" s="20">
        <f t="shared" si="3"/>
        <v>2073</v>
      </c>
      <c r="G40" s="20">
        <f t="shared" si="3"/>
        <v>1074</v>
      </c>
      <c r="H40" s="21">
        <f t="shared" si="3"/>
        <v>1510</v>
      </c>
    </row>
    <row r="41" spans="1:8" ht="15">
      <c r="A41" s="6" t="str">
        <f>_xlfn.CUBEMEMBER("walle RP2012",{"[Individus].[Sexe].&amp;[2]","[Individus].[Age quinquennal].[Age quinquennal 80].&amp;[10]"})</f>
        <v>50-54 ans</v>
      </c>
      <c r="B41" s="20">
        <f t="shared" si="3"/>
        <v>7273</v>
      </c>
      <c r="C41" s="20">
        <f t="shared" si="3"/>
        <v>275</v>
      </c>
      <c r="D41" s="20">
        <f t="shared" si="3"/>
        <v>1871</v>
      </c>
      <c r="E41" s="20">
        <f t="shared" si="3"/>
        <v>1822</v>
      </c>
      <c r="F41" s="20">
        <f t="shared" si="3"/>
        <v>1443</v>
      </c>
      <c r="G41" s="20">
        <f t="shared" si="3"/>
        <v>753</v>
      </c>
      <c r="H41" s="21">
        <f t="shared" si="3"/>
        <v>1109</v>
      </c>
    </row>
    <row r="42" spans="1:8" ht="15">
      <c r="A42" s="6" t="str">
        <f>_xlfn.CUBEMEMBER("walle RP2012",{"[Individus].[Sexe].&amp;[2]","[Individus].[Age quinquennal].[Age quinquennal 80].&amp;[11]"})</f>
        <v>55-59 ans</v>
      </c>
      <c r="B42" s="20">
        <f t="shared" si="3"/>
        <v>6076</v>
      </c>
      <c r="C42" s="20">
        <f t="shared" si="3"/>
        <v>289</v>
      </c>
      <c r="D42" s="20">
        <f t="shared" si="3"/>
        <v>1888</v>
      </c>
      <c r="E42" s="20">
        <f t="shared" si="3"/>
        <v>1521</v>
      </c>
      <c r="F42" s="20">
        <f t="shared" si="3"/>
        <v>1067</v>
      </c>
      <c r="G42" s="20">
        <f t="shared" si="3"/>
        <v>517</v>
      </c>
      <c r="H42" s="21">
        <f t="shared" si="3"/>
        <v>794</v>
      </c>
    </row>
    <row r="43" spans="1:8" ht="15">
      <c r="A43" s="6" t="str">
        <f>_xlfn.CUBEMEMBER("walle RP2012",{"[Individus].[Sexe].&amp;[2]","[Individus].[Age quinquennal].[Age quinquennal 80].&amp;[12]"})</f>
        <v>60-64 ans</v>
      </c>
      <c r="B43" s="20">
        <f t="shared" si="3"/>
        <v>4399</v>
      </c>
      <c r="C43" s="20">
        <f t="shared" si="3"/>
        <v>320</v>
      </c>
      <c r="D43" s="20">
        <f t="shared" si="3"/>
        <v>1603</v>
      </c>
      <c r="E43" s="20">
        <f t="shared" si="3"/>
        <v>1101</v>
      </c>
      <c r="F43" s="20">
        <f t="shared" si="3"/>
        <v>583</v>
      </c>
      <c r="G43" s="20">
        <f t="shared" si="3"/>
        <v>269</v>
      </c>
      <c r="H43" s="21">
        <f t="shared" si="3"/>
        <v>523</v>
      </c>
    </row>
    <row r="44" spans="1:8" ht="15">
      <c r="A44" s="6" t="str">
        <f>_xlfn.CUBEMEMBER("walle RP2012",{"[Individus].[Sexe].&amp;[2]","[Individus].[Age quinquennal].[Age quinquennal 80].&amp;[13]"})</f>
        <v>65-69 ans</v>
      </c>
      <c r="B44" s="20">
        <f t="shared" si="3"/>
        <v>3340</v>
      </c>
      <c r="C44" s="20">
        <f t="shared" si="3"/>
        <v>338</v>
      </c>
      <c r="D44" s="20">
        <f t="shared" si="3"/>
        <v>1623</v>
      </c>
      <c r="E44" s="20">
        <f t="shared" si="3"/>
        <v>612</v>
      </c>
      <c r="F44" s="20">
        <f t="shared" si="3"/>
        <v>304</v>
      </c>
      <c r="G44" s="20">
        <f t="shared" si="3"/>
        <v>167</v>
      </c>
      <c r="H44" s="21">
        <f t="shared" si="3"/>
        <v>296</v>
      </c>
    </row>
    <row r="45" spans="1:8" ht="15">
      <c r="A45" s="6" t="str">
        <f>_xlfn.CUBEMEMBER("walle RP2012",{"[Individus].[Sexe].&amp;[2]","[Individus].[Age quinquennal].[Age quinquennal 80].&amp;[14]"})</f>
        <v>70-74 ans</v>
      </c>
      <c r="B45" s="20">
        <f t="shared" si="3"/>
        <v>2494</v>
      </c>
      <c r="C45" s="20">
        <f t="shared" si="3"/>
        <v>428</v>
      </c>
      <c r="D45" s="20">
        <f t="shared" si="3"/>
        <v>1293</v>
      </c>
      <c r="E45" s="20">
        <f t="shared" si="3"/>
        <v>406</v>
      </c>
      <c r="F45" s="20">
        <f t="shared" si="3"/>
        <v>152</v>
      </c>
      <c r="G45" s="20">
        <f t="shared" si="3"/>
        <v>77</v>
      </c>
      <c r="H45" s="21">
        <f t="shared" si="3"/>
        <v>138</v>
      </c>
    </row>
    <row r="46" spans="1:8" ht="15">
      <c r="A46" s="6" t="str">
        <f>_xlfn.CUBEMEMBER("walle RP2012",{"[Individus].[Sexe].&amp;[2]","[Individus].[Age quinquennal].[Age quinquennal 80].&amp;[15]"})</f>
        <v>75-79 ans</v>
      </c>
      <c r="B46" s="20">
        <f t="shared" si="3"/>
        <v>1767</v>
      </c>
      <c r="C46" s="20">
        <f t="shared" si="3"/>
        <v>408</v>
      </c>
      <c r="D46" s="20">
        <f t="shared" si="3"/>
        <v>929</v>
      </c>
      <c r="E46" s="20">
        <f t="shared" si="3"/>
        <v>242</v>
      </c>
      <c r="F46" s="20">
        <f t="shared" si="3"/>
        <v>84</v>
      </c>
      <c r="G46" s="20">
        <f t="shared" si="3"/>
        <v>37</v>
      </c>
      <c r="H46" s="21">
        <f t="shared" si="3"/>
        <v>67</v>
      </c>
    </row>
    <row r="47" spans="1:8" ht="15">
      <c r="A47" s="12" t="str">
        <f>_xlfn.CUBEMEMBER("walle RP2012",{"[Individus].[Sexe].&amp;[2]","[Individus].[Age quinquennal].[Age quinquennal 80].&amp;[16]"})</f>
        <v>80 ans et plus</v>
      </c>
      <c r="B47" s="22">
        <f t="shared" si="3"/>
        <v>1655</v>
      </c>
      <c r="C47" s="22">
        <f t="shared" si="3"/>
        <v>515</v>
      </c>
      <c r="D47" s="22">
        <f t="shared" si="3"/>
        <v>802</v>
      </c>
      <c r="E47" s="22">
        <f t="shared" si="3"/>
        <v>190</v>
      </c>
      <c r="F47" s="22">
        <f t="shared" si="3"/>
        <v>74</v>
      </c>
      <c r="G47" s="22">
        <f t="shared" si="3"/>
        <v>35</v>
      </c>
      <c r="H47" s="23">
        <f t="shared" si="3"/>
        <v>39</v>
      </c>
    </row>
    <row r="48" spans="1:8" ht="15">
      <c r="A48" s="24"/>
      <c r="B48" s="25"/>
      <c r="C48" s="25"/>
      <c r="D48" s="25"/>
      <c r="E48" s="25"/>
      <c r="F48" s="25"/>
      <c r="G48" s="14"/>
      <c r="H48" s="10" t="s">
        <v>2</v>
      </c>
    </row>
    <row r="49" spans="1:8" ht="15">
      <c r="A49" s="24"/>
      <c r="B49" s="25"/>
      <c r="C49" s="25"/>
      <c r="D49" s="25"/>
      <c r="E49" s="25"/>
      <c r="F49" s="25"/>
      <c r="G49" s="14"/>
      <c r="H49" s="1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8"/>
  <sheetViews>
    <sheetView showGridLines="0" tabSelected="1" zoomScalePageLayoutView="0" workbookViewId="0" topLeftCell="A1">
      <selection activeCell="A1" sqref="A1:H1"/>
    </sheetView>
  </sheetViews>
  <sheetFormatPr defaultColWidth="11.421875" defaultRowHeight="15"/>
  <cols>
    <col min="1" max="1" width="15.00390625" style="0" customWidth="1"/>
    <col min="2" max="2" width="8.7109375" style="0" customWidth="1"/>
    <col min="3" max="3" width="8.421875" style="0" customWidth="1"/>
    <col min="4" max="4" width="7.7109375" style="0" customWidth="1"/>
    <col min="5" max="5" width="7.140625" style="0" customWidth="1"/>
    <col min="6" max="6" width="7.28125" style="0" customWidth="1"/>
    <col min="7" max="7" width="6.140625" style="0" customWidth="1"/>
    <col min="8" max="8" width="11.8515625" style="0" customWidth="1"/>
    <col min="9" max="9" width="12.57421875" style="0" bestFit="1" customWidth="1"/>
  </cols>
  <sheetData>
    <row r="1" spans="1:8" ht="43.5" customHeight="1">
      <c r="A1" s="54" t="s">
        <v>9</v>
      </c>
      <c r="B1" s="54"/>
      <c r="C1" s="54"/>
      <c r="D1" s="54"/>
      <c r="E1" s="54"/>
      <c r="F1" s="54"/>
      <c r="G1" s="54"/>
      <c r="H1" s="54"/>
    </row>
    <row r="2" spans="1:8" ht="41.25" customHeight="1">
      <c r="A2" s="2" t="str">
        <f>_xlfn.CUBEMEMBER("walle RP2012","[Measures].[Individus de 15 ans et plus]","Subdivision et âge")</f>
        <v>Subdivision et âge</v>
      </c>
      <c r="B2" s="15" t="str">
        <f>_xlfn.CUBEMEMBER("walle RP2012","[Individus].[Dernier Diplôme Obtenu].[All]","Ensemble")</f>
        <v>Ensemble</v>
      </c>
      <c r="C2" s="15" t="str">
        <f>_xlfn.CUBEMEMBER("walle RP2012","[Individus].[Niveau études].&amp;[1]")</f>
        <v>Aucune scolarité</v>
      </c>
      <c r="D2" s="15" t="str">
        <f>_xlfn.CUBEMEMBER("walle RP2012","[Individus].[Niveau études].&amp;[2]")</f>
        <v>Ecole primaire</v>
      </c>
      <c r="E2" s="15" t="str">
        <f>_xlfn.CUBEMEMBER("walle RP2012","[Individus].[Niveau études].&amp;[3]")</f>
        <v>Collège</v>
      </c>
      <c r="F2" s="15" t="str">
        <f>_xlfn.CUBEMEMBER("walle RP2012","[Individus].[Niveau études].&amp;[4]")</f>
        <v>CAP-BEP</v>
      </c>
      <c r="G2" s="15" t="str">
        <f>_xlfn.CUBEMEMBER("walle RP2012","[Individus].[Niveau études].&amp;[5]")</f>
        <v>Lycée</v>
      </c>
      <c r="H2" s="16" t="str">
        <f>_xlfn.CUBEMEMBER("walle RP2012","[Individus].[Niveau études].&amp;[6]")</f>
        <v>Etudes supérieures (facultés, IUT..).</v>
      </c>
    </row>
    <row r="3" spans="1:8" ht="15">
      <c r="A3" s="17" t="str">
        <f>_xlfn.CUBEMEMBER("walle RP2012","[Individus].[Age quinquennal].[All]","Ensemble")</f>
        <v>Ensemble</v>
      </c>
      <c r="B3" s="18">
        <f aca="true" t="shared" si="0" ref="B3:H11">_xlfn.CUBEVALUE("walle RP2012",$A$2,$A3,B$2)</f>
        <v>202825</v>
      </c>
      <c r="C3" s="18">
        <f t="shared" si="0"/>
        <v>7386</v>
      </c>
      <c r="D3" s="18">
        <f t="shared" si="0"/>
        <v>35024</v>
      </c>
      <c r="E3" s="18">
        <f t="shared" si="0"/>
        <v>50412</v>
      </c>
      <c r="F3" s="18">
        <f t="shared" si="0"/>
        <v>39378</v>
      </c>
      <c r="G3" s="18">
        <f t="shared" si="0"/>
        <v>34557</v>
      </c>
      <c r="H3" s="19">
        <f t="shared" si="0"/>
        <v>36068</v>
      </c>
    </row>
    <row r="4" spans="1:8" ht="15">
      <c r="A4" s="6" t="str">
        <f>_xlfn.CUBEMEMBER("walle RP2012","[Individus].[Age décennal].[Age décennal 80].&amp;[1]")</f>
        <v>10-19 ans</v>
      </c>
      <c r="B4" s="20">
        <f t="shared" si="0"/>
        <v>23048</v>
      </c>
      <c r="C4" s="20">
        <f t="shared" si="0"/>
        <v>143</v>
      </c>
      <c r="D4" s="20">
        <f t="shared" si="0"/>
        <v>596</v>
      </c>
      <c r="E4" s="20">
        <f t="shared" si="0"/>
        <v>7740</v>
      </c>
      <c r="F4" s="20">
        <f t="shared" si="0"/>
        <v>3862</v>
      </c>
      <c r="G4" s="20">
        <f t="shared" si="0"/>
        <v>8849</v>
      </c>
      <c r="H4" s="21">
        <f t="shared" si="0"/>
        <v>1858</v>
      </c>
    </row>
    <row r="5" spans="1:8" ht="15">
      <c r="A5" s="6" t="str">
        <f>_xlfn.CUBEMEMBER("walle RP2012","[Individus].[Age décennal].[Age décennal 80].&amp;[2]")</f>
        <v>20-29 ans</v>
      </c>
      <c r="B5" s="20">
        <f t="shared" si="0"/>
        <v>45164</v>
      </c>
      <c r="C5" s="20">
        <f t="shared" si="0"/>
        <v>489</v>
      </c>
      <c r="D5" s="20">
        <f t="shared" si="0"/>
        <v>2109</v>
      </c>
      <c r="E5" s="20">
        <f t="shared" si="0"/>
        <v>11504</v>
      </c>
      <c r="F5" s="20">
        <f t="shared" si="0"/>
        <v>10398</v>
      </c>
      <c r="G5" s="20">
        <f t="shared" si="0"/>
        <v>10217</v>
      </c>
      <c r="H5" s="21">
        <f t="shared" si="0"/>
        <v>10447</v>
      </c>
    </row>
    <row r="6" spans="1:8" ht="15">
      <c r="A6" s="6" t="str">
        <f>_xlfn.CUBEMEMBER("walle RP2012","[Individus].[Age décennal].[Age décennal 80].&amp;[3]")</f>
        <v>30-39 ans</v>
      </c>
      <c r="B6" s="20">
        <f t="shared" si="0"/>
        <v>40010</v>
      </c>
      <c r="C6" s="20">
        <f t="shared" si="0"/>
        <v>661</v>
      </c>
      <c r="D6" s="20">
        <f t="shared" si="0"/>
        <v>4130</v>
      </c>
      <c r="E6" s="20">
        <f t="shared" si="0"/>
        <v>9991</v>
      </c>
      <c r="F6" s="20">
        <f t="shared" si="0"/>
        <v>8848</v>
      </c>
      <c r="G6" s="20">
        <f t="shared" si="0"/>
        <v>7116</v>
      </c>
      <c r="H6" s="21">
        <f t="shared" si="0"/>
        <v>9264</v>
      </c>
    </row>
    <row r="7" spans="1:8" ht="15">
      <c r="A7" s="6" t="str">
        <f>_xlfn.CUBEMEMBER("walle RP2012","[Individus].[Age décennal].[Age décennal 80].&amp;[4]")</f>
        <v>40-49 ans</v>
      </c>
      <c r="B7" s="20">
        <f t="shared" si="0"/>
        <v>39487</v>
      </c>
      <c r="C7" s="20">
        <f t="shared" si="0"/>
        <v>1010</v>
      </c>
      <c r="D7" s="20">
        <f t="shared" si="0"/>
        <v>7997</v>
      </c>
      <c r="E7" s="20">
        <f t="shared" si="0"/>
        <v>10252</v>
      </c>
      <c r="F7" s="20">
        <f t="shared" si="0"/>
        <v>8563</v>
      </c>
      <c r="G7" s="20">
        <f t="shared" si="0"/>
        <v>4468</v>
      </c>
      <c r="H7" s="21">
        <f t="shared" si="0"/>
        <v>7197</v>
      </c>
    </row>
    <row r="8" spans="1:8" ht="15">
      <c r="A8" s="6" t="str">
        <f>_xlfn.CUBEMEMBER("walle RP2012","[Individus].[Age décennal].[Age décennal 80].&amp;[5]")</f>
        <v>50-59 ans</v>
      </c>
      <c r="B8" s="20">
        <f t="shared" si="0"/>
        <v>27981</v>
      </c>
      <c r="C8" s="20">
        <f t="shared" si="0"/>
        <v>1341</v>
      </c>
      <c r="D8" s="20">
        <f t="shared" si="0"/>
        <v>8509</v>
      </c>
      <c r="E8" s="20">
        <f t="shared" si="0"/>
        <v>6247</v>
      </c>
      <c r="F8" s="20">
        <f t="shared" si="0"/>
        <v>5083</v>
      </c>
      <c r="G8" s="20">
        <f t="shared" si="0"/>
        <v>2571</v>
      </c>
      <c r="H8" s="21">
        <f t="shared" si="0"/>
        <v>4230</v>
      </c>
    </row>
    <row r="9" spans="1:8" ht="15">
      <c r="A9" s="6" t="str">
        <f>_xlfn.CUBEMEMBER("walle RP2012","[Individus].[Age décennal].[Age décennal 80].&amp;[6]")</f>
        <v>60-69 ans</v>
      </c>
      <c r="B9" s="20">
        <f t="shared" si="0"/>
        <v>15947</v>
      </c>
      <c r="C9" s="20">
        <f t="shared" si="0"/>
        <v>1365</v>
      </c>
      <c r="D9" s="20">
        <f t="shared" si="0"/>
        <v>6303</v>
      </c>
      <c r="E9" s="20">
        <f t="shared" si="0"/>
        <v>3114</v>
      </c>
      <c r="F9" s="20">
        <f t="shared" si="0"/>
        <v>1953</v>
      </c>
      <c r="G9" s="20">
        <f t="shared" si="0"/>
        <v>986</v>
      </c>
      <c r="H9" s="21">
        <f t="shared" si="0"/>
        <v>2226</v>
      </c>
    </row>
    <row r="10" spans="1:8" ht="15">
      <c r="A10" s="6" t="str">
        <f>_xlfn.CUBEMEMBER("walle RP2012","[Individus].[Age décennal].[Age décennal 80].&amp;[7]")</f>
        <v>70-79 ans</v>
      </c>
      <c r="B10" s="20">
        <f t="shared" si="0"/>
        <v>8355</v>
      </c>
      <c r="C10" s="20">
        <f t="shared" si="0"/>
        <v>1553</v>
      </c>
      <c r="D10" s="20">
        <f t="shared" si="0"/>
        <v>4079</v>
      </c>
      <c r="E10" s="20">
        <f t="shared" si="0"/>
        <v>1230</v>
      </c>
      <c r="F10" s="20">
        <f t="shared" si="0"/>
        <v>538</v>
      </c>
      <c r="G10" s="20">
        <f t="shared" si="0"/>
        <v>275</v>
      </c>
      <c r="H10" s="21">
        <f t="shared" si="0"/>
        <v>680</v>
      </c>
    </row>
    <row r="11" spans="1:8" ht="15">
      <c r="A11" s="6" t="str">
        <f>_xlfn.CUBEMEMBER("walle RP2012","[Individus].[Age décennal].[Age décennal 80].&amp;[8]")</f>
        <v>80 ans et plus</v>
      </c>
      <c r="B11" s="20">
        <f t="shared" si="0"/>
        <v>2833</v>
      </c>
      <c r="C11" s="20">
        <f t="shared" si="0"/>
        <v>824</v>
      </c>
      <c r="D11" s="20">
        <f t="shared" si="0"/>
        <v>1301</v>
      </c>
      <c r="E11" s="20">
        <f t="shared" si="0"/>
        <v>334</v>
      </c>
      <c r="F11" s="20">
        <f t="shared" si="0"/>
        <v>133</v>
      </c>
      <c r="G11" s="20">
        <f t="shared" si="0"/>
        <v>75</v>
      </c>
      <c r="H11" s="21">
        <f t="shared" si="0"/>
        <v>166</v>
      </c>
    </row>
    <row r="12" spans="1:8" ht="15">
      <c r="A12" s="17" t="str">
        <f>_xlfn.CUBEMEMBER("walle RP2012","[Geographie].[Subdivision].&amp;[1]")</f>
        <v>Iles Du Vent</v>
      </c>
      <c r="B12" s="18">
        <f aca="true" t="shared" si="1" ref="B12:B56">_xlfn.CUBEVALUE("walle RP2012",$A$2,$A12,B$2)</f>
        <v>152789</v>
      </c>
      <c r="C12" s="18">
        <f aca="true" t="shared" si="2" ref="C12:H13">_xlfn.CUBEVALUE("walle RP2012",$A$2,$A12,C$2)</f>
        <v>5130</v>
      </c>
      <c r="D12" s="18">
        <f t="shared" si="2"/>
        <v>23620</v>
      </c>
      <c r="E12" s="18">
        <f t="shared" si="2"/>
        <v>35872</v>
      </c>
      <c r="F12" s="18">
        <f t="shared" si="2"/>
        <v>28673</v>
      </c>
      <c r="G12" s="18">
        <f t="shared" si="2"/>
        <v>27882</v>
      </c>
      <c r="H12" s="19">
        <f t="shared" si="2"/>
        <v>31612</v>
      </c>
    </row>
    <row r="13" spans="1:8" ht="15">
      <c r="A13" s="6" t="str">
        <f>_xlfn.CUBEMEMBER("walle RP2012",{"[Geographie].[Subdivision].&amp;[1]","[Individus].[Age d?cennal].[Age d?cennal 80].&amp;[1]"})</f>
        <v>10-19 ans</v>
      </c>
      <c r="B13" s="20">
        <f t="shared" si="1"/>
        <v>17247</v>
      </c>
      <c r="C13" s="20">
        <f t="shared" si="2"/>
        <v>104</v>
      </c>
      <c r="D13" s="20">
        <f t="shared" si="2"/>
        <v>376</v>
      </c>
      <c r="E13" s="20">
        <f t="shared" si="2"/>
        <v>5433</v>
      </c>
      <c r="F13" s="20">
        <f t="shared" si="2"/>
        <v>2540</v>
      </c>
      <c r="G13" s="20">
        <f t="shared" si="2"/>
        <v>7064</v>
      </c>
      <c r="H13" s="21">
        <f t="shared" si="2"/>
        <v>1730</v>
      </c>
    </row>
    <row r="14" spans="1:8" ht="15">
      <c r="A14" s="6" t="str">
        <f>_xlfn.CUBEMEMBER("walle RP2012",{"[Geographie].[Subdivision].&amp;[1]","[Individus].[Age d?cennal].[Age d?cennal 80].&amp;[2]"})</f>
        <v>20-29 ans</v>
      </c>
      <c r="B14" s="20">
        <f t="shared" si="1"/>
        <v>33882</v>
      </c>
      <c r="C14" s="20">
        <f aca="true" t="shared" si="3" ref="C14:H22">_xlfn.CUBEVALUE("walle RP2012",$A$2,$A14,C$2)</f>
        <v>358</v>
      </c>
      <c r="D14" s="20">
        <f t="shared" si="3"/>
        <v>1350</v>
      </c>
      <c r="E14" s="20">
        <f t="shared" si="3"/>
        <v>7879</v>
      </c>
      <c r="F14" s="20">
        <f t="shared" si="3"/>
        <v>7071</v>
      </c>
      <c r="G14" s="20">
        <f t="shared" si="3"/>
        <v>8072</v>
      </c>
      <c r="H14" s="21">
        <f t="shared" si="3"/>
        <v>9152</v>
      </c>
    </row>
    <row r="15" spans="1:8" ht="15">
      <c r="A15" s="6" t="str">
        <f>_xlfn.CUBEMEMBER("walle RP2012",{"[Geographie].[Subdivision].&amp;[1]","[Individus].[Age d?cennal].[Age d?cennal 80].&amp;[3]"})</f>
        <v>30-39 ans</v>
      </c>
      <c r="B15" s="20">
        <f t="shared" si="1"/>
        <v>30271</v>
      </c>
      <c r="C15" s="20">
        <f t="shared" si="3"/>
        <v>464</v>
      </c>
      <c r="D15" s="20">
        <f t="shared" si="3"/>
        <v>2629</v>
      </c>
      <c r="E15" s="20">
        <f t="shared" si="3"/>
        <v>6811</v>
      </c>
      <c r="F15" s="20">
        <f t="shared" si="3"/>
        <v>6454</v>
      </c>
      <c r="G15" s="20">
        <f t="shared" si="3"/>
        <v>5819</v>
      </c>
      <c r="H15" s="21">
        <f t="shared" si="3"/>
        <v>8094</v>
      </c>
    </row>
    <row r="16" spans="1:8" ht="15">
      <c r="A16" s="6" t="str">
        <f>_xlfn.CUBEMEMBER("walle RP2012",{"[Geographie].[Subdivision].&amp;[1]","[Individus].[Age d?cennal].[Age d?cennal 80].&amp;[4]"})</f>
        <v>40-49 ans</v>
      </c>
      <c r="B16" s="20">
        <f t="shared" si="1"/>
        <v>29947</v>
      </c>
      <c r="C16" s="20">
        <f t="shared" si="3"/>
        <v>717</v>
      </c>
      <c r="D16" s="20">
        <f t="shared" si="3"/>
        <v>5447</v>
      </c>
      <c r="E16" s="20">
        <f t="shared" si="3"/>
        <v>7308</v>
      </c>
      <c r="F16" s="20">
        <f t="shared" si="3"/>
        <v>6477</v>
      </c>
      <c r="G16" s="20">
        <f t="shared" si="3"/>
        <v>3686</v>
      </c>
      <c r="H16" s="21">
        <f t="shared" si="3"/>
        <v>6312</v>
      </c>
    </row>
    <row r="17" spans="1:8" ht="15">
      <c r="A17" s="6" t="str">
        <f>_xlfn.CUBEMEMBER("walle RP2012",{"[Geographie].[Subdivision].&amp;[1]","[Individus].[Age d?cennal].[Age d?cennal 80].&amp;[5]"})</f>
        <v>50-59 ans</v>
      </c>
      <c r="B17" s="20">
        <f t="shared" si="1"/>
        <v>21268</v>
      </c>
      <c r="C17" s="20">
        <f t="shared" si="3"/>
        <v>969</v>
      </c>
      <c r="D17" s="20">
        <f t="shared" si="3"/>
        <v>5825</v>
      </c>
      <c r="E17" s="20">
        <f t="shared" si="3"/>
        <v>4680</v>
      </c>
      <c r="F17" s="20">
        <f t="shared" si="3"/>
        <v>4006</v>
      </c>
      <c r="G17" s="20">
        <f t="shared" si="3"/>
        <v>2125</v>
      </c>
      <c r="H17" s="21">
        <f t="shared" si="3"/>
        <v>3663</v>
      </c>
    </row>
    <row r="18" spans="1:8" ht="15">
      <c r="A18" s="6" t="str">
        <f>_xlfn.CUBEMEMBER("walle RP2012",{"[Geographie].[Subdivision].&amp;[1]","[Individus].[Age d?cennal].[Age d?cennal 80].&amp;[6]"})</f>
        <v>60-69 ans</v>
      </c>
      <c r="B18" s="20">
        <f t="shared" si="1"/>
        <v>11947</v>
      </c>
      <c r="C18" s="20">
        <f t="shared" si="3"/>
        <v>916</v>
      </c>
      <c r="D18" s="20">
        <f t="shared" si="3"/>
        <v>4283</v>
      </c>
      <c r="E18" s="20">
        <f t="shared" si="3"/>
        <v>2468</v>
      </c>
      <c r="F18" s="20">
        <f t="shared" si="3"/>
        <v>1564</v>
      </c>
      <c r="G18" s="20">
        <f t="shared" si="3"/>
        <v>801</v>
      </c>
      <c r="H18" s="21">
        <f t="shared" si="3"/>
        <v>1915</v>
      </c>
    </row>
    <row r="19" spans="1:8" ht="15">
      <c r="A19" s="6" t="str">
        <f>_xlfn.CUBEMEMBER("walle RP2012",{"[Geographie].[Subdivision].&amp;[1]","[Individus].[Age d?cennal].[Age d?cennal 80].&amp;[7]"})</f>
        <v>70-79 ans</v>
      </c>
      <c r="B19" s="20">
        <f t="shared" si="1"/>
        <v>6069</v>
      </c>
      <c r="C19" s="20">
        <f t="shared" si="3"/>
        <v>1007</v>
      </c>
      <c r="D19" s="20">
        <f t="shared" si="3"/>
        <v>2784</v>
      </c>
      <c r="E19" s="20">
        <f t="shared" si="3"/>
        <v>997</v>
      </c>
      <c r="F19" s="20">
        <f t="shared" si="3"/>
        <v>441</v>
      </c>
      <c r="G19" s="20">
        <f t="shared" si="3"/>
        <v>244</v>
      </c>
      <c r="H19" s="21">
        <f t="shared" si="3"/>
        <v>596</v>
      </c>
    </row>
    <row r="20" spans="1:8" ht="15">
      <c r="A20" s="6" t="str">
        <f>_xlfn.CUBEMEMBER("walle RP2012",{"[Geographie].[Subdivision].&amp;[1]","[Individus].[Age d?cennal].[Age d?cennal 80].&amp;[8]"})</f>
        <v>80 ans et plus</v>
      </c>
      <c r="B20" s="20">
        <f t="shared" si="1"/>
        <v>2158</v>
      </c>
      <c r="C20" s="20">
        <f t="shared" si="3"/>
        <v>595</v>
      </c>
      <c r="D20" s="20">
        <f t="shared" si="3"/>
        <v>926</v>
      </c>
      <c r="E20" s="20">
        <f t="shared" si="3"/>
        <v>296</v>
      </c>
      <c r="F20" s="20">
        <f t="shared" si="3"/>
        <v>120</v>
      </c>
      <c r="G20" s="20">
        <f t="shared" si="3"/>
        <v>71</v>
      </c>
      <c r="H20" s="21">
        <f t="shared" si="3"/>
        <v>150</v>
      </c>
    </row>
    <row r="21" spans="1:8" ht="15">
      <c r="A21" s="17" t="str">
        <f>_xlfn.CUBEMEMBER("walle RP2012","[Geographie].[Subdivision].&amp;[2]")</f>
        <v>Iles Sous-Le-Vent</v>
      </c>
      <c r="B21" s="18">
        <f t="shared" si="1"/>
        <v>25908</v>
      </c>
      <c r="C21" s="18">
        <f t="shared" si="3"/>
        <v>1051</v>
      </c>
      <c r="D21" s="18">
        <f t="shared" si="3"/>
        <v>5544</v>
      </c>
      <c r="E21" s="18">
        <f t="shared" si="3"/>
        <v>6839</v>
      </c>
      <c r="F21" s="18">
        <f t="shared" si="3"/>
        <v>6256</v>
      </c>
      <c r="G21" s="18">
        <f t="shared" si="3"/>
        <v>3634</v>
      </c>
      <c r="H21" s="19">
        <f t="shared" si="3"/>
        <v>2584</v>
      </c>
    </row>
    <row r="22" spans="1:8" ht="15">
      <c r="A22" s="6" t="str">
        <f>_xlfn.CUBEMEMBER("walle RP2012",{"[Geographie].[Subdivision].&amp;[2]","[Individus].[Age d?cennal].[Age d?cennal 80].&amp;[1]"})</f>
        <v>10-19 ans</v>
      </c>
      <c r="B22" s="20">
        <f t="shared" si="1"/>
        <v>3120</v>
      </c>
      <c r="C22" s="20">
        <f t="shared" si="3"/>
        <v>20</v>
      </c>
      <c r="D22" s="20">
        <f t="shared" si="3"/>
        <v>136</v>
      </c>
      <c r="E22" s="20">
        <f t="shared" si="3"/>
        <v>1142</v>
      </c>
      <c r="F22" s="20">
        <f t="shared" si="3"/>
        <v>797</v>
      </c>
      <c r="G22" s="20">
        <f t="shared" si="3"/>
        <v>946</v>
      </c>
      <c r="H22" s="21">
        <f t="shared" si="3"/>
        <v>79</v>
      </c>
    </row>
    <row r="23" spans="1:8" ht="15">
      <c r="A23" s="6" t="str">
        <f>_xlfn.CUBEMEMBER("walle RP2012",{"[Geographie].[Subdivision].&amp;[2]","[Individus].[Age d?cennal].[Age d?cennal 80].&amp;[2]"})</f>
        <v>20-29 ans</v>
      </c>
      <c r="B23" s="20">
        <f t="shared" si="1"/>
        <v>5510</v>
      </c>
      <c r="C23" s="20">
        <f aca="true" t="shared" si="4" ref="C23:F42">_xlfn.CUBEVALUE("walle RP2012",$A$2,$A23,C$2)</f>
        <v>72</v>
      </c>
      <c r="D23" s="20">
        <f t="shared" si="4"/>
        <v>356</v>
      </c>
      <c r="E23" s="20">
        <f t="shared" si="4"/>
        <v>1561</v>
      </c>
      <c r="F23" s="20">
        <f t="shared" si="4"/>
        <v>1755</v>
      </c>
      <c r="G23" s="20">
        <f aca="true" t="shared" si="5" ref="G23:H37">_xlfn.CUBEVALUE("walle RP2012",$A$2,$A23,G$2)</f>
        <v>1072</v>
      </c>
      <c r="H23" s="21">
        <f t="shared" si="5"/>
        <v>694</v>
      </c>
    </row>
    <row r="24" spans="1:8" ht="15">
      <c r="A24" s="6" t="str">
        <f>_xlfn.CUBEMEMBER("walle RP2012",{"[Geographie].[Subdivision].&amp;[2]","[Individus].[Age d?cennal].[Age d?cennal 80].&amp;[3]"})</f>
        <v>30-39 ans</v>
      </c>
      <c r="B24" s="20">
        <f t="shared" si="1"/>
        <v>4954</v>
      </c>
      <c r="C24" s="20">
        <f t="shared" si="4"/>
        <v>89</v>
      </c>
      <c r="D24" s="20">
        <f t="shared" si="4"/>
        <v>652</v>
      </c>
      <c r="E24" s="20">
        <f t="shared" si="4"/>
        <v>1489</v>
      </c>
      <c r="F24" s="20">
        <f t="shared" si="4"/>
        <v>1391</v>
      </c>
      <c r="G24" s="20">
        <f t="shared" si="5"/>
        <v>686</v>
      </c>
      <c r="H24" s="21">
        <f t="shared" si="5"/>
        <v>647</v>
      </c>
    </row>
    <row r="25" spans="1:8" ht="15">
      <c r="A25" s="6" t="str">
        <f>_xlfn.CUBEMEMBER("walle RP2012",{"[Geographie].[Subdivision].&amp;[2]","[Individus].[Age d?cennal].[Age d?cennal 80].&amp;[4]"})</f>
        <v>40-49 ans</v>
      </c>
      <c r="B25" s="20">
        <f t="shared" si="1"/>
        <v>5001</v>
      </c>
      <c r="C25" s="20">
        <f t="shared" si="4"/>
        <v>159</v>
      </c>
      <c r="D25" s="20">
        <f t="shared" si="4"/>
        <v>1093</v>
      </c>
      <c r="E25" s="20">
        <f t="shared" si="4"/>
        <v>1396</v>
      </c>
      <c r="F25" s="20">
        <f t="shared" si="4"/>
        <v>1312</v>
      </c>
      <c r="G25" s="20">
        <f t="shared" si="5"/>
        <v>472</v>
      </c>
      <c r="H25" s="21">
        <f t="shared" si="5"/>
        <v>569</v>
      </c>
    </row>
    <row r="26" spans="1:8" ht="15">
      <c r="A26" s="6" t="str">
        <f>_xlfn.CUBEMEMBER("walle RP2012",{"[Geographie].[Subdivision].&amp;[2]","[Individus].[Age d?cennal].[Age d?cennal 80].&amp;[5]"})</f>
        <v>50-59 ans</v>
      </c>
      <c r="B26" s="20">
        <f t="shared" si="1"/>
        <v>3460</v>
      </c>
      <c r="C26" s="20">
        <f t="shared" si="4"/>
        <v>189</v>
      </c>
      <c r="D26" s="20">
        <f t="shared" si="4"/>
        <v>1248</v>
      </c>
      <c r="E26" s="20">
        <f t="shared" si="4"/>
        <v>744</v>
      </c>
      <c r="F26" s="20">
        <f t="shared" si="4"/>
        <v>654</v>
      </c>
      <c r="G26" s="20">
        <f t="shared" si="5"/>
        <v>300</v>
      </c>
      <c r="H26" s="21">
        <f t="shared" si="5"/>
        <v>325</v>
      </c>
    </row>
    <row r="27" spans="1:8" ht="15">
      <c r="A27" s="6" t="str">
        <f>_xlfn.CUBEMEMBER("walle RP2012",{"[Geographie].[Subdivision].&amp;[2]","[Individus].[Age d?cennal].[Age d?cennal 80].&amp;[6]"})</f>
        <v>60-69 ans</v>
      </c>
      <c r="B27" s="20">
        <f t="shared" si="1"/>
        <v>2222</v>
      </c>
      <c r="C27" s="20">
        <f t="shared" si="4"/>
        <v>193</v>
      </c>
      <c r="D27" s="20">
        <f t="shared" si="4"/>
        <v>1058</v>
      </c>
      <c r="E27" s="20">
        <f t="shared" si="4"/>
        <v>358</v>
      </c>
      <c r="F27" s="20">
        <f t="shared" si="4"/>
        <v>264</v>
      </c>
      <c r="G27" s="20">
        <f t="shared" si="5"/>
        <v>140</v>
      </c>
      <c r="H27" s="21">
        <f t="shared" si="5"/>
        <v>209</v>
      </c>
    </row>
    <row r="28" spans="1:8" ht="15">
      <c r="A28" s="6" t="str">
        <f>_xlfn.CUBEMEMBER("walle RP2012",{"[Geographie].[Subdivision].&amp;[2]","[Individus].[Age d?cennal].[Age d?cennal 80].&amp;[7]"})</f>
        <v>70-79 ans</v>
      </c>
      <c r="B28" s="20">
        <f t="shared" si="1"/>
        <v>1239</v>
      </c>
      <c r="C28" s="20">
        <f t="shared" si="4"/>
        <v>213</v>
      </c>
      <c r="D28" s="20">
        <f t="shared" si="4"/>
        <v>758</v>
      </c>
      <c r="E28" s="20">
        <f t="shared" si="4"/>
        <v>130</v>
      </c>
      <c r="F28" s="20">
        <f t="shared" si="4"/>
        <v>72</v>
      </c>
      <c r="G28" s="20">
        <f t="shared" si="5"/>
        <v>15</v>
      </c>
      <c r="H28" s="21">
        <f t="shared" si="5"/>
        <v>51</v>
      </c>
    </row>
    <row r="29" spans="1:8" ht="15">
      <c r="A29" s="6" t="str">
        <f>_xlfn.CUBEMEMBER("walle RP2012",{"[Geographie].[Subdivision].&amp;[2]","[Individus].[Age d?cennal].[Age d?cennal 80].&amp;[8]"})</f>
        <v>80 ans et plus</v>
      </c>
      <c r="B29" s="20">
        <f t="shared" si="1"/>
        <v>402</v>
      </c>
      <c r="C29" s="20">
        <f t="shared" si="4"/>
        <v>116</v>
      </c>
      <c r="D29" s="20">
        <f t="shared" si="4"/>
        <v>243</v>
      </c>
      <c r="E29" s="20">
        <f t="shared" si="4"/>
        <v>19</v>
      </c>
      <c r="F29" s="20">
        <f t="shared" si="4"/>
        <v>11</v>
      </c>
      <c r="G29" s="20">
        <f t="shared" si="5"/>
        <v>3</v>
      </c>
      <c r="H29" s="21">
        <f t="shared" si="5"/>
        <v>10</v>
      </c>
    </row>
    <row r="30" spans="1:8" ht="15">
      <c r="A30" s="17" t="str">
        <f>_xlfn.CUBEMEMBER("walle RP2012","[Geographie].[Subdivision].&amp;[3]")</f>
        <v>Marquises</v>
      </c>
      <c r="B30" s="18">
        <f t="shared" si="1"/>
        <v>6732</v>
      </c>
      <c r="C30" s="18">
        <f t="shared" si="4"/>
        <v>333</v>
      </c>
      <c r="D30" s="18">
        <f t="shared" si="4"/>
        <v>1477</v>
      </c>
      <c r="E30" s="18">
        <f t="shared" si="4"/>
        <v>2031</v>
      </c>
      <c r="F30" s="18">
        <f t="shared" si="4"/>
        <v>1424</v>
      </c>
      <c r="G30" s="18">
        <f t="shared" si="5"/>
        <v>844</v>
      </c>
      <c r="H30" s="19">
        <f t="shared" si="5"/>
        <v>623</v>
      </c>
    </row>
    <row r="31" spans="1:8" ht="15">
      <c r="A31" s="6" t="str">
        <f>_xlfn.CUBEMEMBER("walle RP2012",{"[Geographie].[Subdivision].&amp;[3]","[Individus].[Age d?cennal].[Age d?cennal 80].&amp;[1]"})</f>
        <v>10-19 ans</v>
      </c>
      <c r="B31" s="20">
        <f t="shared" si="1"/>
        <v>753</v>
      </c>
      <c r="C31" s="20">
        <f t="shared" si="4"/>
        <v>4</v>
      </c>
      <c r="D31" s="20">
        <f t="shared" si="4"/>
        <v>19</v>
      </c>
      <c r="E31" s="20">
        <f t="shared" si="4"/>
        <v>321</v>
      </c>
      <c r="F31" s="20">
        <f t="shared" si="4"/>
        <v>165</v>
      </c>
      <c r="G31" s="20">
        <f t="shared" si="5"/>
        <v>232</v>
      </c>
      <c r="H31" s="21">
        <f t="shared" si="5"/>
        <v>12</v>
      </c>
    </row>
    <row r="32" spans="1:8" ht="15">
      <c r="A32" s="6" t="str">
        <f>_xlfn.CUBEMEMBER("walle RP2012",{"[Geographie].[Subdivision].&amp;[3]","[Individus].[Age d?cennal].[Age d?cennal 80].&amp;[2]"})</f>
        <v>20-29 ans</v>
      </c>
      <c r="B32" s="20">
        <f t="shared" si="1"/>
        <v>1521</v>
      </c>
      <c r="C32" s="20">
        <f t="shared" si="4"/>
        <v>13</v>
      </c>
      <c r="D32" s="20">
        <f t="shared" si="4"/>
        <v>76</v>
      </c>
      <c r="E32" s="20">
        <f t="shared" si="4"/>
        <v>408</v>
      </c>
      <c r="F32" s="20">
        <f t="shared" si="4"/>
        <v>505</v>
      </c>
      <c r="G32" s="20">
        <f t="shared" si="5"/>
        <v>323</v>
      </c>
      <c r="H32" s="21">
        <f t="shared" si="5"/>
        <v>196</v>
      </c>
    </row>
    <row r="33" spans="1:8" ht="15">
      <c r="A33" s="6" t="str">
        <f>_xlfn.CUBEMEMBER("walle RP2012",{"[Geographie].[Subdivision].&amp;[3]","[Individus].[Age d?cennal].[Age d?cennal 80].&amp;[3]"})</f>
        <v>30-39 ans</v>
      </c>
      <c r="B33" s="20">
        <f t="shared" si="1"/>
        <v>1299</v>
      </c>
      <c r="C33" s="20">
        <f t="shared" si="4"/>
        <v>16</v>
      </c>
      <c r="D33" s="20">
        <f t="shared" si="4"/>
        <v>146</v>
      </c>
      <c r="E33" s="20">
        <f t="shared" si="4"/>
        <v>456</v>
      </c>
      <c r="F33" s="20">
        <f t="shared" si="4"/>
        <v>331</v>
      </c>
      <c r="G33" s="20">
        <f t="shared" si="5"/>
        <v>171</v>
      </c>
      <c r="H33" s="21">
        <f t="shared" si="5"/>
        <v>179</v>
      </c>
    </row>
    <row r="34" spans="1:8" ht="15">
      <c r="A34" s="6" t="str">
        <f>_xlfn.CUBEMEMBER("walle RP2012",{"[Geographie].[Subdivision].&amp;[3]","[Individus].[Age d?cennal].[Age d?cennal 80].&amp;[4]"})</f>
        <v>40-49 ans</v>
      </c>
      <c r="B34" s="20">
        <f t="shared" si="1"/>
        <v>1298</v>
      </c>
      <c r="C34" s="20">
        <f t="shared" si="4"/>
        <v>19</v>
      </c>
      <c r="D34" s="20">
        <f t="shared" si="4"/>
        <v>348</v>
      </c>
      <c r="E34" s="20">
        <f t="shared" si="4"/>
        <v>497</v>
      </c>
      <c r="F34" s="20">
        <f t="shared" si="4"/>
        <v>248</v>
      </c>
      <c r="G34" s="20">
        <f t="shared" si="5"/>
        <v>76</v>
      </c>
      <c r="H34" s="21">
        <f t="shared" si="5"/>
        <v>110</v>
      </c>
    </row>
    <row r="35" spans="1:8" ht="15">
      <c r="A35" s="6" t="str">
        <f>_xlfn.CUBEMEMBER("walle RP2012",{"[Geographie].[Subdivision].&amp;[3]","[Individus].[Age d?cennal].[Age d?cennal 80].&amp;[5]"})</f>
        <v>50-59 ans</v>
      </c>
      <c r="B35" s="20">
        <f t="shared" si="1"/>
        <v>964</v>
      </c>
      <c r="C35" s="20">
        <f t="shared" si="4"/>
        <v>35</v>
      </c>
      <c r="D35" s="20">
        <f t="shared" si="4"/>
        <v>454</v>
      </c>
      <c r="E35" s="20">
        <f t="shared" si="4"/>
        <v>242</v>
      </c>
      <c r="F35" s="20">
        <f t="shared" si="4"/>
        <v>129</v>
      </c>
      <c r="G35" s="20">
        <f t="shared" si="5"/>
        <v>26</v>
      </c>
      <c r="H35" s="21">
        <f t="shared" si="5"/>
        <v>78</v>
      </c>
    </row>
    <row r="36" spans="1:8" ht="15">
      <c r="A36" s="6" t="str">
        <f>_xlfn.CUBEMEMBER("walle RP2012",{"[Geographie].[Subdivision].&amp;[3]","[Individus].[Age d?cennal].[Age d?cennal 80].&amp;[6]"})</f>
        <v>60-69 ans</v>
      </c>
      <c r="B36" s="20">
        <f t="shared" si="1"/>
        <v>516</v>
      </c>
      <c r="C36" s="20">
        <f t="shared" si="4"/>
        <v>78</v>
      </c>
      <c r="D36" s="20">
        <f t="shared" si="4"/>
        <v>272</v>
      </c>
      <c r="E36" s="20">
        <f t="shared" si="4"/>
        <v>81</v>
      </c>
      <c r="F36" s="20">
        <f t="shared" si="4"/>
        <v>34</v>
      </c>
      <c r="G36" s="20">
        <f t="shared" si="5"/>
        <v>12</v>
      </c>
      <c r="H36" s="21">
        <f t="shared" si="5"/>
        <v>39</v>
      </c>
    </row>
    <row r="37" spans="1:8" ht="15">
      <c r="A37" s="6" t="str">
        <f>_xlfn.CUBEMEMBER("walle RP2012",{"[Geographie].[Subdivision].&amp;[3]","[Individus].[Age d?cennal].[Age d?cennal 80].&amp;[7]"})</f>
        <v>70-79 ans</v>
      </c>
      <c r="B37" s="20">
        <f t="shared" si="1"/>
        <v>296</v>
      </c>
      <c r="C37" s="20">
        <f t="shared" si="4"/>
        <v>121</v>
      </c>
      <c r="D37" s="20">
        <f t="shared" si="4"/>
        <v>132</v>
      </c>
      <c r="E37" s="20">
        <f t="shared" si="4"/>
        <v>21</v>
      </c>
      <c r="F37" s="20">
        <f t="shared" si="4"/>
        <v>10</v>
      </c>
      <c r="G37" s="20">
        <f t="shared" si="5"/>
        <v>4</v>
      </c>
      <c r="H37" s="21">
        <f t="shared" si="5"/>
        <v>8</v>
      </c>
    </row>
    <row r="38" spans="1:8" ht="15">
      <c r="A38" s="6" t="str">
        <f>_xlfn.CUBEMEMBER("walle RP2012",{"[Geographie].[Subdivision].&amp;[3]","[Individus].[Age d?cennal].[Age d?cennal 80].&amp;[8]"})</f>
        <v>80 ans et plus</v>
      </c>
      <c r="B38" s="20">
        <f t="shared" si="1"/>
        <v>85</v>
      </c>
      <c r="C38" s="20">
        <f t="shared" si="4"/>
        <v>47</v>
      </c>
      <c r="D38" s="20">
        <f t="shared" si="4"/>
        <v>30</v>
      </c>
      <c r="E38" s="20">
        <f t="shared" si="4"/>
        <v>5</v>
      </c>
      <c r="F38" s="20">
        <f t="shared" si="4"/>
        <v>2</v>
      </c>
      <c r="G38" s="20">
        <f aca="true" t="shared" si="6" ref="G38:H53">_xlfn.CUBEVALUE("walle RP2012",$A$2,$A38,G$2)</f>
      </c>
      <c r="H38" s="21">
        <f t="shared" si="6"/>
        <v>1</v>
      </c>
    </row>
    <row r="39" spans="1:8" ht="15">
      <c r="A39" s="17" t="str">
        <f>_xlfn.CUBEMEMBER("walle RP2012","[Geographie].[Subdivision].&amp;[4]")</f>
        <v>Australes</v>
      </c>
      <c r="B39" s="18">
        <f t="shared" si="1"/>
        <v>4969</v>
      </c>
      <c r="C39" s="18">
        <f t="shared" si="4"/>
        <v>262</v>
      </c>
      <c r="D39" s="18">
        <f t="shared" si="4"/>
        <v>1413</v>
      </c>
      <c r="E39" s="18">
        <f t="shared" si="4"/>
        <v>1501</v>
      </c>
      <c r="F39" s="18">
        <f t="shared" si="4"/>
        <v>703</v>
      </c>
      <c r="G39" s="18">
        <f t="shared" si="6"/>
        <v>701</v>
      </c>
      <c r="H39" s="19">
        <f t="shared" si="6"/>
        <v>389</v>
      </c>
    </row>
    <row r="40" spans="1:8" ht="15">
      <c r="A40" s="6" t="str">
        <f>_xlfn.CUBEMEMBER("walle RP2012",{"[Geographie].[Subdivision].&amp;[4]","[Individus].[Age d?cennal].[Age d?cennal 80].&amp;[1]"})</f>
        <v>10-19 ans</v>
      </c>
      <c r="B40" s="20">
        <f t="shared" si="1"/>
        <v>490</v>
      </c>
      <c r="C40" s="20">
        <f t="shared" si="4"/>
        <v>4</v>
      </c>
      <c r="D40" s="20">
        <f t="shared" si="4"/>
        <v>16</v>
      </c>
      <c r="E40" s="20">
        <f t="shared" si="4"/>
        <v>199</v>
      </c>
      <c r="F40" s="20">
        <f t="shared" si="4"/>
        <v>80</v>
      </c>
      <c r="G40" s="20">
        <f t="shared" si="6"/>
        <v>181</v>
      </c>
      <c r="H40" s="21">
        <f t="shared" si="6"/>
        <v>10</v>
      </c>
    </row>
    <row r="41" spans="1:8" ht="15">
      <c r="A41" s="6" t="str">
        <f>_xlfn.CUBEMEMBER("walle RP2012",{"[Geographie].[Subdivision].&amp;[4]","[Individus].[Age d?cennal].[Age d?cennal 80].&amp;[2]"})</f>
        <v>20-29 ans</v>
      </c>
      <c r="B41" s="20">
        <f t="shared" si="1"/>
        <v>1134</v>
      </c>
      <c r="C41" s="20">
        <f t="shared" si="4"/>
        <v>6</v>
      </c>
      <c r="D41" s="20">
        <f t="shared" si="4"/>
        <v>86</v>
      </c>
      <c r="E41" s="20">
        <f t="shared" si="4"/>
        <v>423</v>
      </c>
      <c r="F41" s="20">
        <f t="shared" si="4"/>
        <v>228</v>
      </c>
      <c r="G41" s="20">
        <f t="shared" si="6"/>
        <v>252</v>
      </c>
      <c r="H41" s="21">
        <f t="shared" si="6"/>
        <v>139</v>
      </c>
    </row>
    <row r="42" spans="1:8" ht="15">
      <c r="A42" s="6" t="str">
        <f>_xlfn.CUBEMEMBER("walle RP2012",{"[Geographie].[Subdivision].&amp;[4]","[Individus].[Age d?cennal].[Age d?cennal 80].&amp;[3]"})</f>
        <v>30-39 ans</v>
      </c>
      <c r="B42" s="20">
        <f t="shared" si="1"/>
        <v>873</v>
      </c>
      <c r="C42" s="20">
        <f t="shared" si="4"/>
        <v>24</v>
      </c>
      <c r="D42" s="20">
        <f t="shared" si="4"/>
        <v>137</v>
      </c>
      <c r="E42" s="20">
        <f t="shared" si="4"/>
        <v>302</v>
      </c>
      <c r="F42" s="20">
        <f t="shared" si="4"/>
        <v>147</v>
      </c>
      <c r="G42" s="20">
        <f t="shared" si="6"/>
        <v>151</v>
      </c>
      <c r="H42" s="21">
        <f t="shared" si="6"/>
        <v>112</v>
      </c>
    </row>
    <row r="43" spans="1:8" ht="15">
      <c r="A43" s="6" t="str">
        <f>_xlfn.CUBEMEMBER("walle RP2012",{"[Geographie].[Subdivision].&amp;[4]","[Individus].[Age d?cennal].[Age d?cennal 80].&amp;[4]"})</f>
        <v>40-49 ans</v>
      </c>
      <c r="B43" s="20">
        <f t="shared" si="1"/>
        <v>940</v>
      </c>
      <c r="C43" s="20">
        <f aca="true" t="shared" si="7" ref="C43:F56">_xlfn.CUBEVALUE("walle RP2012",$A$2,$A43,C$2)</f>
        <v>26</v>
      </c>
      <c r="D43" s="20">
        <f t="shared" si="7"/>
        <v>334</v>
      </c>
      <c r="E43" s="20">
        <f t="shared" si="7"/>
        <v>315</v>
      </c>
      <c r="F43" s="20">
        <f t="shared" si="7"/>
        <v>147</v>
      </c>
      <c r="G43" s="20">
        <f t="shared" si="6"/>
        <v>68</v>
      </c>
      <c r="H43" s="21">
        <f t="shared" si="6"/>
        <v>50</v>
      </c>
    </row>
    <row r="44" spans="1:8" ht="15">
      <c r="A44" s="6" t="str">
        <f>_xlfn.CUBEMEMBER("walle RP2012",{"[Geographie].[Subdivision].&amp;[4]","[Individus].[Age d?cennal].[Age d?cennal 80].&amp;[5]"})</f>
        <v>50-59 ans</v>
      </c>
      <c r="B44" s="20">
        <f t="shared" si="1"/>
        <v>734</v>
      </c>
      <c r="C44" s="20">
        <f t="shared" si="7"/>
        <v>43</v>
      </c>
      <c r="D44" s="20">
        <f t="shared" si="7"/>
        <v>351</v>
      </c>
      <c r="E44" s="20">
        <f t="shared" si="7"/>
        <v>181</v>
      </c>
      <c r="F44" s="20">
        <f t="shared" si="7"/>
        <v>75</v>
      </c>
      <c r="G44" s="20">
        <f t="shared" si="6"/>
        <v>33</v>
      </c>
      <c r="H44" s="21">
        <f t="shared" si="6"/>
        <v>51</v>
      </c>
    </row>
    <row r="45" spans="1:8" ht="15">
      <c r="A45" s="6" t="str">
        <f>_xlfn.CUBEMEMBER("walle RP2012",{"[Geographie].[Subdivision].&amp;[4]","[Individus].[Age d?cennal].[Age d?cennal 80].&amp;[6]"})</f>
        <v>60-69 ans</v>
      </c>
      <c r="B45" s="20">
        <f t="shared" si="1"/>
        <v>423</v>
      </c>
      <c r="C45" s="20">
        <f t="shared" si="7"/>
        <v>51</v>
      </c>
      <c r="D45" s="20">
        <f t="shared" si="7"/>
        <v>260</v>
      </c>
      <c r="E45" s="20">
        <f t="shared" si="7"/>
        <v>59</v>
      </c>
      <c r="F45" s="20">
        <f t="shared" si="7"/>
        <v>25</v>
      </c>
      <c r="G45" s="20">
        <f t="shared" si="6"/>
        <v>11</v>
      </c>
      <c r="H45" s="21">
        <f t="shared" si="6"/>
        <v>17</v>
      </c>
    </row>
    <row r="46" spans="1:8" ht="15">
      <c r="A46" s="6" t="str">
        <f>_xlfn.CUBEMEMBER("walle RP2012",{"[Geographie].[Subdivision].&amp;[4]","[Individus].[Age d?cennal].[Age d?cennal 80].&amp;[7]"})</f>
        <v>70-79 ans</v>
      </c>
      <c r="B46" s="20">
        <f t="shared" si="1"/>
        <v>279</v>
      </c>
      <c r="C46" s="20">
        <f t="shared" si="7"/>
        <v>73</v>
      </c>
      <c r="D46" s="20">
        <f t="shared" si="7"/>
        <v>170</v>
      </c>
      <c r="E46" s="20">
        <f t="shared" si="7"/>
        <v>20</v>
      </c>
      <c r="F46" s="20">
        <f t="shared" si="7"/>
        <v>1</v>
      </c>
      <c r="G46" s="20">
        <f t="shared" si="6"/>
        <v>5</v>
      </c>
      <c r="H46" s="21">
        <f t="shared" si="6"/>
        <v>10</v>
      </c>
    </row>
    <row r="47" spans="1:8" ht="15">
      <c r="A47" s="6" t="str">
        <f>_xlfn.CUBEMEMBER("walle RP2012",{"[Geographie].[Subdivision].&amp;[4]","[Individus].[Age d?cennal].[Age d?cennal 80].&amp;[8]"})</f>
        <v>80 ans et plus</v>
      </c>
      <c r="B47" s="20">
        <f t="shared" si="1"/>
        <v>96</v>
      </c>
      <c r="C47" s="20">
        <f t="shared" si="7"/>
        <v>35</v>
      </c>
      <c r="D47" s="20">
        <f t="shared" si="7"/>
        <v>59</v>
      </c>
      <c r="E47" s="20">
        <f t="shared" si="7"/>
        <v>2</v>
      </c>
      <c r="F47" s="20">
        <f t="shared" si="7"/>
      </c>
      <c r="G47" s="20">
        <f t="shared" si="6"/>
      </c>
      <c r="H47" s="21">
        <f t="shared" si="6"/>
      </c>
    </row>
    <row r="48" spans="1:8" ht="15">
      <c r="A48" s="17" t="str">
        <f>_xlfn.CUBEMEMBER("walle RP2012","[Geographie].[Subdivision].&amp;[5]")</f>
        <v>Tuamotu-Gambier</v>
      </c>
      <c r="B48" s="18">
        <f t="shared" si="1"/>
        <v>12427</v>
      </c>
      <c r="C48" s="18">
        <f t="shared" si="7"/>
        <v>610</v>
      </c>
      <c r="D48" s="18">
        <f t="shared" si="7"/>
        <v>2970</v>
      </c>
      <c r="E48" s="18">
        <f t="shared" si="7"/>
        <v>4169</v>
      </c>
      <c r="F48" s="18">
        <f t="shared" si="7"/>
        <v>2322</v>
      </c>
      <c r="G48" s="18">
        <f t="shared" si="6"/>
        <v>1496</v>
      </c>
      <c r="H48" s="19">
        <f t="shared" si="6"/>
        <v>860</v>
      </c>
    </row>
    <row r="49" spans="1:8" ht="15">
      <c r="A49" s="6" t="str">
        <f>_xlfn.CUBEMEMBER("walle RP2012",{"[Geographie].[Subdivision].&amp;[5]","[Individus].[Age d?cennal].[Age d?cennal 80].&amp;[1]"})</f>
        <v>10-19 ans</v>
      </c>
      <c r="B49" s="20">
        <f t="shared" si="1"/>
        <v>1438</v>
      </c>
      <c r="C49" s="20">
        <f t="shared" si="7"/>
        <v>11</v>
      </c>
      <c r="D49" s="20">
        <f t="shared" si="7"/>
        <v>49</v>
      </c>
      <c r="E49" s="20">
        <f t="shared" si="7"/>
        <v>645</v>
      </c>
      <c r="F49" s="20">
        <f t="shared" si="7"/>
        <v>280</v>
      </c>
      <c r="G49" s="20">
        <f t="shared" si="6"/>
        <v>426</v>
      </c>
      <c r="H49" s="21">
        <f t="shared" si="6"/>
        <v>27</v>
      </c>
    </row>
    <row r="50" spans="1:8" ht="15">
      <c r="A50" s="6" t="str">
        <f>_xlfn.CUBEMEMBER("walle RP2012",{"[Geographie].[Subdivision].&amp;[5]","[Individus].[Age d?cennal].[Age d?cennal 80].&amp;[2]"})</f>
        <v>20-29 ans</v>
      </c>
      <c r="B50" s="20">
        <f t="shared" si="1"/>
        <v>3117</v>
      </c>
      <c r="C50" s="20">
        <f t="shared" si="7"/>
        <v>40</v>
      </c>
      <c r="D50" s="20">
        <f t="shared" si="7"/>
        <v>241</v>
      </c>
      <c r="E50" s="20">
        <f t="shared" si="7"/>
        <v>1233</v>
      </c>
      <c r="F50" s="20">
        <f t="shared" si="7"/>
        <v>839</v>
      </c>
      <c r="G50" s="20">
        <f t="shared" si="6"/>
        <v>498</v>
      </c>
      <c r="H50" s="21">
        <f t="shared" si="6"/>
        <v>266</v>
      </c>
    </row>
    <row r="51" spans="1:8" ht="15">
      <c r="A51" s="6" t="str">
        <f>_xlfn.CUBEMEMBER("walle RP2012",{"[Geographie].[Subdivision].&amp;[5]","[Individus].[Age d?cennal].[Age d?cennal 80].&amp;[3]"})</f>
        <v>30-39 ans</v>
      </c>
      <c r="B51" s="20">
        <f t="shared" si="1"/>
        <v>2613</v>
      </c>
      <c r="C51" s="20">
        <f t="shared" si="7"/>
        <v>68</v>
      </c>
      <c r="D51" s="20">
        <f t="shared" si="7"/>
        <v>566</v>
      </c>
      <c r="E51" s="20">
        <f t="shared" si="7"/>
        <v>933</v>
      </c>
      <c r="F51" s="20">
        <f t="shared" si="7"/>
        <v>525</v>
      </c>
      <c r="G51" s="20">
        <f t="shared" si="6"/>
        <v>289</v>
      </c>
      <c r="H51" s="21">
        <f t="shared" si="6"/>
        <v>232</v>
      </c>
    </row>
    <row r="52" spans="1:8" ht="15">
      <c r="A52" s="6" t="str">
        <f>_xlfn.CUBEMEMBER("walle RP2012",{"[Geographie].[Subdivision].&amp;[5]","[Individus].[Age d?cennal].[Age d?cennal 80].&amp;[4]"})</f>
        <v>40-49 ans</v>
      </c>
      <c r="B52" s="20">
        <f t="shared" si="1"/>
        <v>2301</v>
      </c>
      <c r="C52" s="20">
        <f t="shared" si="7"/>
        <v>89</v>
      </c>
      <c r="D52" s="20">
        <f t="shared" si="7"/>
        <v>775</v>
      </c>
      <c r="E52" s="20">
        <f t="shared" si="7"/>
        <v>736</v>
      </c>
      <c r="F52" s="20">
        <f t="shared" si="7"/>
        <v>379</v>
      </c>
      <c r="G52" s="20">
        <f t="shared" si="6"/>
        <v>166</v>
      </c>
      <c r="H52" s="21">
        <f t="shared" si="6"/>
        <v>156</v>
      </c>
    </row>
    <row r="53" spans="1:8" ht="15">
      <c r="A53" s="6" t="str">
        <f>_xlfn.CUBEMEMBER("walle RP2012",{"[Geographie].[Subdivision].&amp;[5]","[Individus].[Age d?cennal].[Age d?cennal 80].&amp;[5]"})</f>
        <v>50-59 ans</v>
      </c>
      <c r="B53" s="20">
        <f t="shared" si="1"/>
        <v>1555</v>
      </c>
      <c r="C53" s="20">
        <f t="shared" si="7"/>
        <v>105</v>
      </c>
      <c r="D53" s="20">
        <f t="shared" si="7"/>
        <v>631</v>
      </c>
      <c r="E53" s="20">
        <f t="shared" si="7"/>
        <v>400</v>
      </c>
      <c r="F53" s="20">
        <f t="shared" si="7"/>
        <v>219</v>
      </c>
      <c r="G53" s="20">
        <f t="shared" si="6"/>
        <v>87</v>
      </c>
      <c r="H53" s="21">
        <f t="shared" si="6"/>
        <v>113</v>
      </c>
    </row>
    <row r="54" spans="1:8" ht="15">
      <c r="A54" s="6" t="str">
        <f>_xlfn.CUBEMEMBER("walle RP2012",{"[Geographie].[Subdivision].&amp;[5]","[Individus].[Age d?cennal].[Age d?cennal 80].&amp;[6]"})</f>
        <v>60-69 ans</v>
      </c>
      <c r="B54" s="20">
        <f t="shared" si="1"/>
        <v>839</v>
      </c>
      <c r="C54" s="20">
        <f t="shared" si="7"/>
        <v>127</v>
      </c>
      <c r="D54" s="20">
        <f t="shared" si="7"/>
        <v>430</v>
      </c>
      <c r="E54" s="20">
        <f t="shared" si="7"/>
        <v>148</v>
      </c>
      <c r="F54" s="20">
        <f t="shared" si="7"/>
        <v>66</v>
      </c>
      <c r="G54" s="20">
        <f aca="true" t="shared" si="8" ref="G54:H56">_xlfn.CUBEVALUE("walle RP2012",$A$2,$A54,G$2)</f>
        <v>22</v>
      </c>
      <c r="H54" s="21">
        <f t="shared" si="8"/>
        <v>46</v>
      </c>
    </row>
    <row r="55" spans="1:8" ht="15">
      <c r="A55" s="6" t="str">
        <f>_xlfn.CUBEMEMBER("walle RP2012",{"[Geographie].[Subdivision].&amp;[5]","[Individus].[Age d?cennal].[Age d?cennal 80].&amp;[7]"})</f>
        <v>70-79 ans</v>
      </c>
      <c r="B55" s="20">
        <f t="shared" si="1"/>
        <v>472</v>
      </c>
      <c r="C55" s="20">
        <f t="shared" si="7"/>
        <v>139</v>
      </c>
      <c r="D55" s="20">
        <f t="shared" si="7"/>
        <v>235</v>
      </c>
      <c r="E55" s="20">
        <f t="shared" si="7"/>
        <v>62</v>
      </c>
      <c r="F55" s="20">
        <f t="shared" si="7"/>
        <v>14</v>
      </c>
      <c r="G55" s="20">
        <f t="shared" si="8"/>
        <v>7</v>
      </c>
      <c r="H55" s="21">
        <f t="shared" si="8"/>
        <v>15</v>
      </c>
    </row>
    <row r="56" spans="1:8" ht="15">
      <c r="A56" s="12" t="str">
        <f>_xlfn.CUBEMEMBER("walle RP2012",{"[Geographie].[Subdivision].&amp;[5]","[Individus].[Age d?cennal].[Age d?cennal 80].&amp;[8]"})</f>
        <v>80 ans et plus</v>
      </c>
      <c r="B56" s="22">
        <f t="shared" si="1"/>
        <v>92</v>
      </c>
      <c r="C56" s="22">
        <f t="shared" si="7"/>
        <v>31</v>
      </c>
      <c r="D56" s="22">
        <f t="shared" si="7"/>
        <v>43</v>
      </c>
      <c r="E56" s="22">
        <f t="shared" si="7"/>
        <v>12</v>
      </c>
      <c r="F56" s="22">
        <f t="shared" si="7"/>
      </c>
      <c r="G56" s="22">
        <f t="shared" si="8"/>
        <v>1</v>
      </c>
      <c r="H56" s="23">
        <f t="shared" si="8"/>
        <v>5</v>
      </c>
    </row>
    <row r="57" spans="1:8" ht="15">
      <c r="A57" s="24"/>
      <c r="B57" s="25"/>
      <c r="C57" s="25"/>
      <c r="D57" s="25"/>
      <c r="E57" s="25"/>
      <c r="F57" s="25"/>
      <c r="G57" s="14"/>
      <c r="H57" s="10" t="s">
        <v>2</v>
      </c>
    </row>
    <row r="58" spans="1:8" ht="15">
      <c r="A58" s="24"/>
      <c r="B58" s="25"/>
      <c r="C58" s="25"/>
      <c r="D58" s="25"/>
      <c r="E58" s="25"/>
      <c r="F58" s="25"/>
      <c r="G58" s="14"/>
      <c r="H58" s="1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A1" sqref="A1:H1"/>
    </sheetView>
  </sheetViews>
  <sheetFormatPr defaultColWidth="11.421875" defaultRowHeight="15"/>
  <cols>
    <col min="1" max="1" width="16.00390625" style="0" customWidth="1"/>
    <col min="2" max="2" width="9.00390625" style="0" customWidth="1"/>
    <col min="3" max="3" width="8.421875" style="0" customWidth="1"/>
    <col min="4" max="4" width="7.28125" style="0" customWidth="1"/>
    <col min="5" max="5" width="7.00390625" style="0" customWidth="1"/>
    <col min="6" max="6" width="7.57421875" style="0" customWidth="1"/>
    <col min="7" max="7" width="6.00390625" style="0" customWidth="1"/>
    <col min="8" max="8" width="11.28125" style="0" customWidth="1"/>
    <col min="9" max="9" width="12.57421875" style="0" bestFit="1" customWidth="1"/>
  </cols>
  <sheetData>
    <row r="1" spans="1:8" ht="38.25" customHeight="1">
      <c r="A1" s="56" t="s">
        <v>10</v>
      </c>
      <c r="B1" s="56"/>
      <c r="C1" s="56"/>
      <c r="D1" s="56"/>
      <c r="E1" s="56"/>
      <c r="F1" s="56"/>
      <c r="G1" s="56"/>
      <c r="H1" s="56"/>
    </row>
    <row r="2" spans="1:8" ht="40.5" customHeight="1">
      <c r="A2" s="26" t="str">
        <f>_xlfn.CUBEMEMBER("walle RP2012","[Measures].[Individus de 15 ans et plus]","Lieu de naissance")</f>
        <v>Lieu de naissance</v>
      </c>
      <c r="B2" s="15" t="str">
        <f>_xlfn.CUBEMEMBER("walle RP2012","[Individus].[Dernier Diplôme Obtenu].[All]","Ensemble")</f>
        <v>Ensemble</v>
      </c>
      <c r="C2" s="15" t="str">
        <f>_xlfn.CUBEMEMBER("walle RP2012","[Individus].[Niveau études].&amp;[1]")</f>
        <v>Aucune scolarité</v>
      </c>
      <c r="D2" s="15" t="str">
        <f>_xlfn.CUBEMEMBER("walle RP2012","[Individus].[Niveau études].&amp;[2]")</f>
        <v>Ecole primaire</v>
      </c>
      <c r="E2" s="15" t="str">
        <f>_xlfn.CUBEMEMBER("walle RP2012","[Individus].[Niveau études].&amp;[3]")</f>
        <v>Collège</v>
      </c>
      <c r="F2" s="15" t="str">
        <f>_xlfn.CUBEMEMBER("walle RP2012","[Individus].[Niveau études].&amp;[4]")</f>
        <v>CAP-BEP</v>
      </c>
      <c r="G2" s="15" t="str">
        <f>_xlfn.CUBEMEMBER("walle RP2012","[Individus].[Niveau études].&amp;[5]")</f>
        <v>Lycée</v>
      </c>
      <c r="H2" s="16" t="str">
        <f>_xlfn.CUBEMEMBER("walle RP2012","[Individus].[Niveau études].&amp;[6]")</f>
        <v>Etudes supérieures (facultés, IUT..).</v>
      </c>
    </row>
    <row r="3" spans="1:8" ht="15">
      <c r="A3" s="17" t="str">
        <f>_xlfn.CUBEMEMBER("walle RP2012","[Individus].[Age quinquennal].[All]","Ensemble")</f>
        <v>Ensemble</v>
      </c>
      <c r="B3" s="18">
        <f aca="true" t="shared" si="0" ref="B3:H11">_xlfn.CUBEVALUE("walle RP2012",$A$2,$A3,B$2)</f>
        <v>202825</v>
      </c>
      <c r="C3" s="18">
        <f t="shared" si="0"/>
        <v>7386</v>
      </c>
      <c r="D3" s="18">
        <f t="shared" si="0"/>
        <v>35024</v>
      </c>
      <c r="E3" s="18">
        <f t="shared" si="0"/>
        <v>50412</v>
      </c>
      <c r="F3" s="18">
        <f t="shared" si="0"/>
        <v>39378</v>
      </c>
      <c r="G3" s="18">
        <f t="shared" si="0"/>
        <v>34557</v>
      </c>
      <c r="H3" s="19">
        <f t="shared" si="0"/>
        <v>36068</v>
      </c>
    </row>
    <row r="4" spans="1:8" ht="15">
      <c r="A4" s="6" t="str">
        <f>_xlfn.CUBEMEMBER("walle RP2012","[Individus].[Age décennal].[Age décennal 80].&amp;[1]")</f>
        <v>10-19 ans</v>
      </c>
      <c r="B4" s="20">
        <f t="shared" si="0"/>
        <v>23048</v>
      </c>
      <c r="C4" s="20">
        <f t="shared" si="0"/>
        <v>143</v>
      </c>
      <c r="D4" s="20">
        <f t="shared" si="0"/>
        <v>596</v>
      </c>
      <c r="E4" s="20">
        <f t="shared" si="0"/>
        <v>7740</v>
      </c>
      <c r="F4" s="20">
        <f t="shared" si="0"/>
        <v>3862</v>
      </c>
      <c r="G4" s="20">
        <f t="shared" si="0"/>
        <v>8849</v>
      </c>
      <c r="H4" s="21">
        <f t="shared" si="0"/>
        <v>1858</v>
      </c>
    </row>
    <row r="5" spans="1:8" ht="15">
      <c r="A5" s="6" t="str">
        <f>_xlfn.CUBEMEMBER("walle RP2012","[Individus].[Age décennal].[Age décennal 80].&amp;[2]")</f>
        <v>20-29 ans</v>
      </c>
      <c r="B5" s="20">
        <f t="shared" si="0"/>
        <v>45164</v>
      </c>
      <c r="C5" s="20">
        <f t="shared" si="0"/>
        <v>489</v>
      </c>
      <c r="D5" s="20">
        <f t="shared" si="0"/>
        <v>2109</v>
      </c>
      <c r="E5" s="20">
        <f t="shared" si="0"/>
        <v>11504</v>
      </c>
      <c r="F5" s="20">
        <f t="shared" si="0"/>
        <v>10398</v>
      </c>
      <c r="G5" s="20">
        <f t="shared" si="0"/>
        <v>10217</v>
      </c>
      <c r="H5" s="21">
        <f t="shared" si="0"/>
        <v>10447</v>
      </c>
    </row>
    <row r="6" spans="1:8" ht="15">
      <c r="A6" s="6" t="str">
        <f>_xlfn.CUBEMEMBER("walle RP2012","[Individus].[Age décennal].[Age décennal 80].&amp;[3]")</f>
        <v>30-39 ans</v>
      </c>
      <c r="B6" s="20">
        <f t="shared" si="0"/>
        <v>40010</v>
      </c>
      <c r="C6" s="20">
        <f t="shared" si="0"/>
        <v>661</v>
      </c>
      <c r="D6" s="20">
        <f t="shared" si="0"/>
        <v>4130</v>
      </c>
      <c r="E6" s="20">
        <f t="shared" si="0"/>
        <v>9991</v>
      </c>
      <c r="F6" s="20">
        <f t="shared" si="0"/>
        <v>8848</v>
      </c>
      <c r="G6" s="20">
        <f t="shared" si="0"/>
        <v>7116</v>
      </c>
      <c r="H6" s="21">
        <f t="shared" si="0"/>
        <v>9264</v>
      </c>
    </row>
    <row r="7" spans="1:8" ht="15">
      <c r="A7" s="6" t="str">
        <f>_xlfn.CUBEMEMBER("walle RP2012","[Individus].[Age décennal].[Age décennal 80].&amp;[4]")</f>
        <v>40-49 ans</v>
      </c>
      <c r="B7" s="20">
        <f t="shared" si="0"/>
        <v>39487</v>
      </c>
      <c r="C7" s="20">
        <f t="shared" si="0"/>
        <v>1010</v>
      </c>
      <c r="D7" s="20">
        <f t="shared" si="0"/>
        <v>7997</v>
      </c>
      <c r="E7" s="20">
        <f t="shared" si="0"/>
        <v>10252</v>
      </c>
      <c r="F7" s="20">
        <f t="shared" si="0"/>
        <v>8563</v>
      </c>
      <c r="G7" s="20">
        <f t="shared" si="0"/>
        <v>4468</v>
      </c>
      <c r="H7" s="21">
        <f t="shared" si="0"/>
        <v>7197</v>
      </c>
    </row>
    <row r="8" spans="1:8" ht="15">
      <c r="A8" s="6" t="str">
        <f>_xlfn.CUBEMEMBER("walle RP2012","[Individus].[Age décennal].[Age décennal 80].&amp;[5]")</f>
        <v>50-59 ans</v>
      </c>
      <c r="B8" s="20">
        <f t="shared" si="0"/>
        <v>27981</v>
      </c>
      <c r="C8" s="20">
        <f t="shared" si="0"/>
        <v>1341</v>
      </c>
      <c r="D8" s="20">
        <f t="shared" si="0"/>
        <v>8509</v>
      </c>
      <c r="E8" s="20">
        <f t="shared" si="0"/>
        <v>6247</v>
      </c>
      <c r="F8" s="20">
        <f t="shared" si="0"/>
        <v>5083</v>
      </c>
      <c r="G8" s="20">
        <f t="shared" si="0"/>
        <v>2571</v>
      </c>
      <c r="H8" s="21">
        <f t="shared" si="0"/>
        <v>4230</v>
      </c>
    </row>
    <row r="9" spans="1:8" ht="15">
      <c r="A9" s="6" t="str">
        <f>_xlfn.CUBEMEMBER("walle RP2012","[Individus].[Age décennal].[Age décennal 80].&amp;[6]")</f>
        <v>60-69 ans</v>
      </c>
      <c r="B9" s="20">
        <f t="shared" si="0"/>
        <v>15947</v>
      </c>
      <c r="C9" s="20">
        <f t="shared" si="0"/>
        <v>1365</v>
      </c>
      <c r="D9" s="20">
        <f t="shared" si="0"/>
        <v>6303</v>
      </c>
      <c r="E9" s="20">
        <f t="shared" si="0"/>
        <v>3114</v>
      </c>
      <c r="F9" s="20">
        <f t="shared" si="0"/>
        <v>1953</v>
      </c>
      <c r="G9" s="20">
        <f t="shared" si="0"/>
        <v>986</v>
      </c>
      <c r="H9" s="21">
        <f t="shared" si="0"/>
        <v>2226</v>
      </c>
    </row>
    <row r="10" spans="1:8" ht="15">
      <c r="A10" s="6" t="str">
        <f>_xlfn.CUBEMEMBER("walle RP2012","[Individus].[Age décennal].[Age décennal 80].&amp;[7]")</f>
        <v>70-79 ans</v>
      </c>
      <c r="B10" s="20">
        <f t="shared" si="0"/>
        <v>8355</v>
      </c>
      <c r="C10" s="20">
        <f t="shared" si="0"/>
        <v>1553</v>
      </c>
      <c r="D10" s="20">
        <f t="shared" si="0"/>
        <v>4079</v>
      </c>
      <c r="E10" s="20">
        <f t="shared" si="0"/>
        <v>1230</v>
      </c>
      <c r="F10" s="20">
        <f t="shared" si="0"/>
        <v>538</v>
      </c>
      <c r="G10" s="20">
        <f t="shared" si="0"/>
        <v>275</v>
      </c>
      <c r="H10" s="21">
        <f t="shared" si="0"/>
        <v>680</v>
      </c>
    </row>
    <row r="11" spans="1:8" ht="15">
      <c r="A11" s="6" t="str">
        <f>_xlfn.CUBEMEMBER("walle RP2012","[Individus].[Age décennal].[Age décennal 80].&amp;[8]")</f>
        <v>80 ans et plus</v>
      </c>
      <c r="B11" s="20">
        <f t="shared" si="0"/>
        <v>2833</v>
      </c>
      <c r="C11" s="20">
        <f t="shared" si="0"/>
        <v>824</v>
      </c>
      <c r="D11" s="20">
        <f t="shared" si="0"/>
        <v>1301</v>
      </c>
      <c r="E11" s="20">
        <f t="shared" si="0"/>
        <v>334</v>
      </c>
      <c r="F11" s="20">
        <f t="shared" si="0"/>
        <v>133</v>
      </c>
      <c r="G11" s="20">
        <f t="shared" si="0"/>
        <v>75</v>
      </c>
      <c r="H11" s="21">
        <f t="shared" si="0"/>
        <v>166</v>
      </c>
    </row>
    <row r="12" spans="1:8" ht="15">
      <c r="A12" s="17" t="str">
        <f>_xlfn.CUBEMEMBER("walle RP2012","[Individus].[Lieu de naissance].[Lieu De Naissance 1].&amp;[1000]")</f>
        <v>Polynésie française</v>
      </c>
      <c r="B12" s="18">
        <f aca="true" t="shared" si="1" ref="B12:B21">_xlfn.CUBEVALUE("walle RP2012",$A$2,$A12,B$2)</f>
        <v>176133</v>
      </c>
      <c r="C12" s="18">
        <f aca="true" t="shared" si="2" ref="C12:H13">_xlfn.CUBEVALUE("walle RP2012",$A$2,$A12,C$2)</f>
        <v>7054</v>
      </c>
      <c r="D12" s="18">
        <f t="shared" si="2"/>
        <v>33969</v>
      </c>
      <c r="E12" s="18">
        <f t="shared" si="2"/>
        <v>47972</v>
      </c>
      <c r="F12" s="18">
        <f t="shared" si="2"/>
        <v>35558</v>
      </c>
      <c r="G12" s="18">
        <f t="shared" si="2"/>
        <v>29788</v>
      </c>
      <c r="H12" s="19">
        <f t="shared" si="2"/>
        <v>21792</v>
      </c>
    </row>
    <row r="13" spans="1:8" ht="15">
      <c r="A13" s="6" t="str">
        <f>_xlfn.CUBEMEMBER("walle RP2012",{"[Individus].[Lieu de naissance].[Lieu De Naissance 1].&amp;[1000]","[Individus].[Age d?cennal].[Age d?cennal 80].&amp;[1]"})</f>
        <v>10-19 ans</v>
      </c>
      <c r="B13" s="20">
        <f t="shared" si="1"/>
        <v>21893</v>
      </c>
      <c r="C13" s="20">
        <f t="shared" si="2"/>
        <v>140</v>
      </c>
      <c r="D13" s="20">
        <f t="shared" si="2"/>
        <v>591</v>
      </c>
      <c r="E13" s="20">
        <f t="shared" si="2"/>
        <v>7514</v>
      </c>
      <c r="F13" s="20">
        <f t="shared" si="2"/>
        <v>3764</v>
      </c>
      <c r="G13" s="20">
        <f t="shared" si="2"/>
        <v>8203</v>
      </c>
      <c r="H13" s="21">
        <f t="shared" si="2"/>
        <v>1681</v>
      </c>
    </row>
    <row r="14" spans="1:8" ht="15">
      <c r="A14" s="6" t="str">
        <f>_xlfn.CUBEMEMBER("walle RP2012",{"[Individus].[Lieu de naissance].[Lieu De Naissance 1].&amp;[1000]","[Individus].[Age d?cennal].[Age d?cennal 80].&amp;[2]"})</f>
        <v>20-29 ans</v>
      </c>
      <c r="B14" s="20">
        <f t="shared" si="1"/>
        <v>42523</v>
      </c>
      <c r="C14" s="20">
        <f aca="true" t="shared" si="3" ref="C14:H21">_xlfn.CUBEVALUE("walle RP2012",$A$2,$A14,C$2)</f>
        <v>465</v>
      </c>
      <c r="D14" s="20">
        <f t="shared" si="3"/>
        <v>2089</v>
      </c>
      <c r="E14" s="20">
        <f t="shared" si="3"/>
        <v>11323</v>
      </c>
      <c r="F14" s="20">
        <f t="shared" si="3"/>
        <v>10056</v>
      </c>
      <c r="G14" s="20">
        <f t="shared" si="3"/>
        <v>9704</v>
      </c>
      <c r="H14" s="21">
        <f t="shared" si="3"/>
        <v>8886</v>
      </c>
    </row>
    <row r="15" spans="1:8" ht="15">
      <c r="A15" s="6" t="str">
        <f>_xlfn.CUBEMEMBER("walle RP2012",{"[Individus].[Lieu de naissance].[Lieu De Naissance 1].&amp;[1000]","[Individus].[Age d?cennal].[Age d?cennal 80].&amp;[3]"})</f>
        <v>30-39 ans</v>
      </c>
      <c r="B15" s="20">
        <f t="shared" si="1"/>
        <v>33972</v>
      </c>
      <c r="C15" s="20">
        <f t="shared" si="3"/>
        <v>628</v>
      </c>
      <c r="D15" s="20">
        <f t="shared" si="3"/>
        <v>4000</v>
      </c>
      <c r="E15" s="20">
        <f t="shared" si="3"/>
        <v>9577</v>
      </c>
      <c r="F15" s="20">
        <f t="shared" si="3"/>
        <v>8127</v>
      </c>
      <c r="G15" s="20">
        <f t="shared" si="3"/>
        <v>6074</v>
      </c>
      <c r="H15" s="21">
        <f t="shared" si="3"/>
        <v>5566</v>
      </c>
    </row>
    <row r="16" spans="1:8" ht="15">
      <c r="A16" s="6" t="str">
        <f>_xlfn.CUBEMEMBER("walle RP2012",{"[Individus].[Lieu de naissance].[Lieu De Naissance 1].&amp;[1000]","[Individus].[Age d?cennal].[Age d?cennal 80].&amp;[4]"})</f>
        <v>40-49 ans</v>
      </c>
      <c r="B16" s="20">
        <f t="shared" si="1"/>
        <v>32434</v>
      </c>
      <c r="C16" s="20">
        <f t="shared" si="3"/>
        <v>964</v>
      </c>
      <c r="D16" s="20">
        <f t="shared" si="3"/>
        <v>7773</v>
      </c>
      <c r="E16" s="20">
        <f t="shared" si="3"/>
        <v>9660</v>
      </c>
      <c r="F16" s="20">
        <f t="shared" si="3"/>
        <v>7387</v>
      </c>
      <c r="G16" s="20">
        <f t="shared" si="3"/>
        <v>3385</v>
      </c>
      <c r="H16" s="21">
        <f t="shared" si="3"/>
        <v>3265</v>
      </c>
    </row>
    <row r="17" spans="1:8" ht="15">
      <c r="A17" s="6" t="str">
        <f>_xlfn.CUBEMEMBER("walle RP2012",{"[Individus].[Lieu de naissance].[Lieu De Naissance 1].&amp;[1000]","[Individus].[Age d?cennal].[Age d?cennal 80].&amp;[5]"})</f>
        <v>50-59 ans</v>
      </c>
      <c r="B17" s="20">
        <f t="shared" si="1"/>
        <v>22889</v>
      </c>
      <c r="C17" s="20">
        <f t="shared" si="3"/>
        <v>1281</v>
      </c>
      <c r="D17" s="20">
        <f t="shared" si="3"/>
        <v>8296</v>
      </c>
      <c r="E17" s="20">
        <f t="shared" si="3"/>
        <v>5774</v>
      </c>
      <c r="F17" s="20">
        <f t="shared" si="3"/>
        <v>4236</v>
      </c>
      <c r="G17" s="20">
        <f t="shared" si="3"/>
        <v>1751</v>
      </c>
      <c r="H17" s="21">
        <f t="shared" si="3"/>
        <v>1551</v>
      </c>
    </row>
    <row r="18" spans="1:8" ht="15">
      <c r="A18" s="6" t="str">
        <f>_xlfn.CUBEMEMBER("walle RP2012",{"[Individus].[Lieu de naissance].[Lieu De Naissance 1].&amp;[1000]","[Individus].[Age d?cennal].[Age d?cennal 80].&amp;[6]"})</f>
        <v>60-69 ans</v>
      </c>
      <c r="B18" s="20">
        <f t="shared" si="1"/>
        <v>12870</v>
      </c>
      <c r="C18" s="20">
        <f t="shared" si="3"/>
        <v>1303</v>
      </c>
      <c r="D18" s="20">
        <f t="shared" si="3"/>
        <v>6092</v>
      </c>
      <c r="E18" s="20">
        <f t="shared" si="3"/>
        <v>2798</v>
      </c>
      <c r="F18" s="20">
        <f t="shared" si="3"/>
        <v>1494</v>
      </c>
      <c r="G18" s="20">
        <f t="shared" si="3"/>
        <v>530</v>
      </c>
      <c r="H18" s="21">
        <f t="shared" si="3"/>
        <v>653</v>
      </c>
    </row>
    <row r="19" spans="1:8" ht="15">
      <c r="A19" s="6" t="str">
        <f>_xlfn.CUBEMEMBER("walle RP2012",{"[Individus].[Lieu de naissance].[Lieu De Naissance 1].&amp;[1000]","[Individus].[Age d?cennal].[Age d?cennal 80].&amp;[7]"})</f>
        <v>70-79 ans</v>
      </c>
      <c r="B19" s="20">
        <f t="shared" si="1"/>
        <v>7157</v>
      </c>
      <c r="C19" s="20">
        <f t="shared" si="3"/>
        <v>1495</v>
      </c>
      <c r="D19" s="20">
        <f t="shared" si="3"/>
        <v>3920</v>
      </c>
      <c r="E19" s="20">
        <f t="shared" si="3"/>
        <v>1063</v>
      </c>
      <c r="F19" s="20">
        <f t="shared" si="3"/>
        <v>403</v>
      </c>
      <c r="G19" s="20">
        <f t="shared" si="3"/>
        <v>117</v>
      </c>
      <c r="H19" s="21">
        <f t="shared" si="3"/>
        <v>159</v>
      </c>
    </row>
    <row r="20" spans="1:8" ht="15">
      <c r="A20" s="6" t="str">
        <f>_xlfn.CUBEMEMBER("walle RP2012",{"[Individus].[Lieu de naissance].[Lieu De Naissance 1].&amp;[1000]","[Individus].[Age d?cennal].[Age d?cennal 80].&amp;[8]"})</f>
        <v>80 ans et plus</v>
      </c>
      <c r="B20" s="20">
        <f t="shared" si="1"/>
        <v>2395</v>
      </c>
      <c r="C20" s="20">
        <f t="shared" si="3"/>
        <v>778</v>
      </c>
      <c r="D20" s="20">
        <f t="shared" si="3"/>
        <v>1208</v>
      </c>
      <c r="E20" s="20">
        <f t="shared" si="3"/>
        <v>263</v>
      </c>
      <c r="F20" s="20">
        <f t="shared" si="3"/>
        <v>91</v>
      </c>
      <c r="G20" s="20">
        <f t="shared" si="3"/>
        <v>24</v>
      </c>
      <c r="H20" s="21">
        <f t="shared" si="3"/>
        <v>31</v>
      </c>
    </row>
    <row r="21" spans="1:8" ht="15">
      <c r="A21" s="17" t="str">
        <f>_xlfn.CUBESET("walle RP2012","{[Individus].[Lieu de naissance].[Lieu De Naissance 1].&amp;[2000],[Individus].[Lieu de naissance].[Lieu De Naissance 1].&amp;[3000],[Individus].[Lieu de naissance].[Lieu De Naissance 1].&amp;[4000]}","Métropole, DOM-TOM")</f>
        <v>Métropole, DOM-TOM</v>
      </c>
      <c r="B21" s="18">
        <f t="shared" si="1"/>
        <v>22548</v>
      </c>
      <c r="C21" s="18">
        <f t="shared" si="3"/>
        <v>169</v>
      </c>
      <c r="D21" s="18">
        <f t="shared" si="3"/>
        <v>783</v>
      </c>
      <c r="E21" s="18">
        <f t="shared" si="3"/>
        <v>1945</v>
      </c>
      <c r="F21" s="18">
        <f t="shared" si="3"/>
        <v>3413</v>
      </c>
      <c r="G21" s="18">
        <f t="shared" si="3"/>
        <v>4036</v>
      </c>
      <c r="H21" s="19">
        <f t="shared" si="3"/>
        <v>12202</v>
      </c>
    </row>
    <row r="22" spans="1:8" ht="15">
      <c r="A22" s="6" t="str">
        <f>_xlfn.CUBEMEMBER("walle RP2012","[Individus].[Age décennal].[Age décennal 80].&amp;[1]")</f>
        <v>10-19 ans</v>
      </c>
      <c r="B22" s="20">
        <f>_xlfn.CUBEVALUE("walle RP2012",$A$2,$A22,B$2,$A$21)</f>
        <v>1031</v>
      </c>
      <c r="C22" s="20">
        <f>_xlfn.CUBEVALUE("walle RP2012",$A$2,$A22,C$2,$A$21)</f>
        <v>2</v>
      </c>
      <c r="D22" s="20">
        <f aca="true" t="shared" si="4" ref="D22:H29">_xlfn.CUBEVALUE("walle RP2012",$A$2,$A22,D$2,$A$21)</f>
        <v>5</v>
      </c>
      <c r="E22" s="20">
        <f t="shared" si="4"/>
        <v>203</v>
      </c>
      <c r="F22" s="20">
        <f t="shared" si="4"/>
        <v>87</v>
      </c>
      <c r="G22" s="20">
        <f t="shared" si="4"/>
        <v>578</v>
      </c>
      <c r="H22" s="21">
        <f t="shared" si="4"/>
        <v>156</v>
      </c>
    </row>
    <row r="23" spans="1:8" ht="15">
      <c r="A23" s="6" t="str">
        <f>_xlfn.CUBEMEMBER("walle RP2012","[Individus].[Age décennal].[Age décennal 80].&amp;[2]")</f>
        <v>20-29 ans</v>
      </c>
      <c r="B23" s="20">
        <f aca="true" t="shared" si="5" ref="B23:C29">_xlfn.CUBEVALUE("walle RP2012",$A$2,$A23,B$2,$A$21)</f>
        <v>2331</v>
      </c>
      <c r="C23" s="20">
        <f t="shared" si="5"/>
        <v>13</v>
      </c>
      <c r="D23" s="20">
        <f t="shared" si="4"/>
        <v>7</v>
      </c>
      <c r="E23" s="20">
        <f t="shared" si="4"/>
        <v>142</v>
      </c>
      <c r="F23" s="20">
        <f t="shared" si="4"/>
        <v>321</v>
      </c>
      <c r="G23" s="20">
        <f t="shared" si="4"/>
        <v>436</v>
      </c>
      <c r="H23" s="21">
        <f t="shared" si="4"/>
        <v>1412</v>
      </c>
    </row>
    <row r="24" spans="1:8" ht="15">
      <c r="A24" s="6" t="str">
        <f>_xlfn.CUBEMEMBER("walle RP2012","[Individus].[Age décennal].[Age décennal 80].&amp;[3]")</f>
        <v>30-39 ans</v>
      </c>
      <c r="B24" s="20">
        <f t="shared" si="5"/>
        <v>5263</v>
      </c>
      <c r="C24" s="20">
        <f t="shared" si="5"/>
        <v>18</v>
      </c>
      <c r="D24" s="20">
        <f t="shared" si="4"/>
        <v>87</v>
      </c>
      <c r="E24" s="20">
        <f t="shared" si="4"/>
        <v>339</v>
      </c>
      <c r="F24" s="20">
        <f t="shared" si="4"/>
        <v>653</v>
      </c>
      <c r="G24" s="20">
        <f t="shared" si="4"/>
        <v>917</v>
      </c>
      <c r="H24" s="21">
        <f t="shared" si="4"/>
        <v>3249</v>
      </c>
    </row>
    <row r="25" spans="1:8" ht="15">
      <c r="A25" s="6" t="str">
        <f>_xlfn.CUBEMEMBER("walle RP2012","[Individus].[Age décennal].[Age décennal 80].&amp;[4]")</f>
        <v>40-49 ans</v>
      </c>
      <c r="B25" s="20">
        <f t="shared" si="5"/>
        <v>6145</v>
      </c>
      <c r="C25" s="20">
        <f t="shared" si="5"/>
        <v>23</v>
      </c>
      <c r="D25" s="20">
        <f t="shared" si="4"/>
        <v>166</v>
      </c>
      <c r="E25" s="20">
        <f t="shared" si="4"/>
        <v>484</v>
      </c>
      <c r="F25" s="20">
        <f t="shared" si="4"/>
        <v>1087</v>
      </c>
      <c r="G25" s="20">
        <f t="shared" si="4"/>
        <v>919</v>
      </c>
      <c r="H25" s="21">
        <f t="shared" si="4"/>
        <v>3466</v>
      </c>
    </row>
    <row r="26" spans="1:8" ht="15">
      <c r="A26" s="6" t="str">
        <f>_xlfn.CUBEMEMBER("walle RP2012","[Individus].[Age décennal].[Age décennal 80].&amp;[5]")</f>
        <v>50-59 ans</v>
      </c>
      <c r="B26" s="20">
        <f t="shared" si="5"/>
        <v>4100</v>
      </c>
      <c r="C26" s="20">
        <f t="shared" si="5"/>
        <v>32</v>
      </c>
      <c r="D26" s="20">
        <f t="shared" si="4"/>
        <v>160</v>
      </c>
      <c r="E26" s="20">
        <f t="shared" si="4"/>
        <v>373</v>
      </c>
      <c r="F26" s="20">
        <f t="shared" si="4"/>
        <v>731</v>
      </c>
      <c r="G26" s="20">
        <f t="shared" si="4"/>
        <v>669</v>
      </c>
      <c r="H26" s="21">
        <f t="shared" si="4"/>
        <v>2135</v>
      </c>
    </row>
    <row r="27" spans="1:8" ht="15">
      <c r="A27" s="6" t="str">
        <f>_xlfn.CUBEMEMBER("walle RP2012","[Individus].[Age décennal].[Age décennal 80].&amp;[6]")</f>
        <v>60-69 ans</v>
      </c>
      <c r="B27" s="20">
        <f t="shared" si="5"/>
        <v>2469</v>
      </c>
      <c r="C27" s="20">
        <f t="shared" si="5"/>
        <v>31</v>
      </c>
      <c r="D27" s="20">
        <f t="shared" si="4"/>
        <v>168</v>
      </c>
      <c r="E27" s="20">
        <f t="shared" si="4"/>
        <v>235</v>
      </c>
      <c r="F27" s="20">
        <f t="shared" si="4"/>
        <v>398</v>
      </c>
      <c r="G27" s="20">
        <f t="shared" si="4"/>
        <v>358</v>
      </c>
      <c r="H27" s="21">
        <f t="shared" si="4"/>
        <v>1279</v>
      </c>
    </row>
    <row r="28" spans="1:8" ht="15">
      <c r="A28" s="6" t="str">
        <f>_xlfn.CUBEMEMBER("walle RP2012","[Individus].[Age décennal].[Age décennal 80].&amp;[7]")</f>
        <v>70-79 ans</v>
      </c>
      <c r="B28" s="20">
        <f t="shared" si="5"/>
        <v>867</v>
      </c>
      <c r="C28" s="20">
        <f t="shared" si="5"/>
        <v>22</v>
      </c>
      <c r="D28" s="20">
        <f t="shared" si="4"/>
        <v>119</v>
      </c>
      <c r="E28" s="20">
        <f t="shared" si="4"/>
        <v>112</v>
      </c>
      <c r="F28" s="20">
        <f t="shared" si="4"/>
        <v>103</v>
      </c>
      <c r="G28" s="20">
        <f t="shared" si="4"/>
        <v>116</v>
      </c>
      <c r="H28" s="21">
        <f t="shared" si="4"/>
        <v>395</v>
      </c>
    </row>
    <row r="29" spans="1:8" ht="15">
      <c r="A29" s="6" t="str">
        <f>_xlfn.CUBEMEMBER("walle RP2012","[Individus].[Age décennal].[Age décennal 80].&amp;[8]")</f>
        <v>80 ans et plus</v>
      </c>
      <c r="B29" s="20">
        <f t="shared" si="5"/>
        <v>342</v>
      </c>
      <c r="C29" s="20">
        <f t="shared" si="5"/>
        <v>28</v>
      </c>
      <c r="D29" s="20">
        <f t="shared" si="4"/>
        <v>71</v>
      </c>
      <c r="E29" s="20">
        <f t="shared" si="4"/>
        <v>57</v>
      </c>
      <c r="F29" s="20">
        <f t="shared" si="4"/>
        <v>33</v>
      </c>
      <c r="G29" s="20">
        <f t="shared" si="4"/>
        <v>43</v>
      </c>
      <c r="H29" s="21">
        <f t="shared" si="4"/>
        <v>110</v>
      </c>
    </row>
    <row r="30" spans="1:8" ht="15">
      <c r="A30" s="17" t="str">
        <f>_xlfn.CUBEMEMBER("walle RP2012","[Individus].[Lieu de naissance].[Lieu De Naissance 1].&amp;[5000]")</f>
        <v>Etranger</v>
      </c>
      <c r="B30" s="18">
        <f aca="true" t="shared" si="6" ref="B30:F38">_xlfn.CUBEVALUE("walle RP2012",$A$2,$A30,B$2)</f>
        <v>4144</v>
      </c>
      <c r="C30" s="18">
        <f t="shared" si="6"/>
        <v>163</v>
      </c>
      <c r="D30" s="18">
        <f t="shared" si="6"/>
        <v>272</v>
      </c>
      <c r="E30" s="18">
        <f t="shared" si="6"/>
        <v>495</v>
      </c>
      <c r="F30" s="18">
        <f t="shared" si="6"/>
        <v>407</v>
      </c>
      <c r="G30" s="18">
        <f aca="true" t="shared" si="7" ref="G30:H38">_xlfn.CUBEVALUE("walle RP2012",$A$2,$A30,G$2)</f>
        <v>733</v>
      </c>
      <c r="H30" s="19">
        <f t="shared" si="7"/>
        <v>2074</v>
      </c>
    </row>
    <row r="31" spans="1:8" ht="15">
      <c r="A31" s="6" t="str">
        <f>_xlfn.CUBEMEMBER("walle RP2012",{"[Individus].[Lieu de naissance].[Lieu De Naissance 1].&amp;[5000]","[Individus].[Age d?cennal].[Age d?cennal 80].&amp;[1]"})</f>
        <v>10-19 ans</v>
      </c>
      <c r="B31" s="20">
        <f t="shared" si="6"/>
        <v>124</v>
      </c>
      <c r="C31" s="20">
        <f t="shared" si="6"/>
        <v>1</v>
      </c>
      <c r="D31" s="20">
        <f t="shared" si="6"/>
      </c>
      <c r="E31" s="20">
        <f t="shared" si="6"/>
        <v>23</v>
      </c>
      <c r="F31" s="20">
        <f t="shared" si="6"/>
        <v>11</v>
      </c>
      <c r="G31" s="20">
        <f t="shared" si="7"/>
        <v>68</v>
      </c>
      <c r="H31" s="21">
        <f t="shared" si="7"/>
        <v>21</v>
      </c>
    </row>
    <row r="32" spans="1:8" ht="15">
      <c r="A32" s="6" t="str">
        <f>_xlfn.CUBEMEMBER("walle RP2012",{"[Individus].[Lieu de naissance].[Lieu De Naissance 1].&amp;[5000]","[Individus].[Age d?cennal].[Age d?cennal 80].&amp;[2]"})</f>
        <v>20-29 ans</v>
      </c>
      <c r="B32" s="20">
        <f t="shared" si="6"/>
        <v>310</v>
      </c>
      <c r="C32" s="20">
        <f t="shared" si="6"/>
        <v>11</v>
      </c>
      <c r="D32" s="20">
        <f t="shared" si="6"/>
        <v>13</v>
      </c>
      <c r="E32" s="20">
        <f t="shared" si="6"/>
        <v>39</v>
      </c>
      <c r="F32" s="20">
        <f t="shared" si="6"/>
        <v>21</v>
      </c>
      <c r="G32" s="20">
        <f t="shared" si="7"/>
        <v>77</v>
      </c>
      <c r="H32" s="21">
        <f t="shared" si="7"/>
        <v>149</v>
      </c>
    </row>
    <row r="33" spans="1:8" ht="15">
      <c r="A33" s="6" t="str">
        <f>_xlfn.CUBEMEMBER("walle RP2012",{"[Individus].[Lieu de naissance].[Lieu De Naissance 1].&amp;[5000]","[Individus].[Age d?cennal].[Age d?cennal 80].&amp;[3]"})</f>
        <v>30-39 ans</v>
      </c>
      <c r="B33" s="20">
        <f t="shared" si="6"/>
        <v>775</v>
      </c>
      <c r="C33" s="20">
        <f t="shared" si="6"/>
        <v>15</v>
      </c>
      <c r="D33" s="20">
        <f t="shared" si="6"/>
        <v>43</v>
      </c>
      <c r="E33" s="20">
        <f t="shared" si="6"/>
        <v>75</v>
      </c>
      <c r="F33" s="20">
        <f t="shared" si="6"/>
        <v>68</v>
      </c>
      <c r="G33" s="20">
        <f t="shared" si="7"/>
        <v>125</v>
      </c>
      <c r="H33" s="21">
        <f t="shared" si="7"/>
        <v>449</v>
      </c>
    </row>
    <row r="34" spans="1:8" ht="15">
      <c r="A34" s="6" t="str">
        <f>_xlfn.CUBEMEMBER("walle RP2012",{"[Individus].[Lieu de naissance].[Lieu De Naissance 1].&amp;[5000]","[Individus].[Age d?cennal].[Age d?cennal 80].&amp;[4]"})</f>
        <v>40-49 ans</v>
      </c>
      <c r="B34" s="20">
        <f t="shared" si="6"/>
        <v>908</v>
      </c>
      <c r="C34" s="20">
        <f t="shared" si="6"/>
        <v>23</v>
      </c>
      <c r="D34" s="20">
        <f t="shared" si="6"/>
        <v>58</v>
      </c>
      <c r="E34" s="20">
        <f t="shared" si="6"/>
        <v>108</v>
      </c>
      <c r="F34" s="20">
        <f t="shared" si="6"/>
        <v>89</v>
      </c>
      <c r="G34" s="20">
        <f t="shared" si="7"/>
        <v>164</v>
      </c>
      <c r="H34" s="21">
        <f t="shared" si="7"/>
        <v>466</v>
      </c>
    </row>
    <row r="35" spans="1:8" ht="15">
      <c r="A35" s="6" t="str">
        <f>_xlfn.CUBEMEMBER("walle RP2012",{"[Individus].[Lieu de naissance].[Lieu De Naissance 1].&amp;[5000]","[Individus].[Age d?cennal].[Age d?cennal 80].&amp;[5]"})</f>
        <v>50-59 ans</v>
      </c>
      <c r="B35" s="20">
        <f t="shared" si="6"/>
        <v>992</v>
      </c>
      <c r="C35" s="20">
        <f t="shared" si="6"/>
        <v>28</v>
      </c>
      <c r="D35" s="20">
        <f t="shared" si="6"/>
        <v>53</v>
      </c>
      <c r="E35" s="20">
        <f t="shared" si="6"/>
        <v>100</v>
      </c>
      <c r="F35" s="20">
        <f t="shared" si="6"/>
        <v>116</v>
      </c>
      <c r="G35" s="20">
        <f t="shared" si="7"/>
        <v>151</v>
      </c>
      <c r="H35" s="21">
        <f t="shared" si="7"/>
        <v>544</v>
      </c>
    </row>
    <row r="36" spans="1:8" ht="15">
      <c r="A36" s="6" t="str">
        <f>_xlfn.CUBEMEMBER("walle RP2012",{"[Individus].[Lieu de naissance].[Lieu De Naissance 1].&amp;[5000]","[Individus].[Age d?cennal].[Age d?cennal 80].&amp;[6]"})</f>
        <v>60-69 ans</v>
      </c>
      <c r="B36" s="20">
        <f t="shared" si="6"/>
        <v>608</v>
      </c>
      <c r="C36" s="20">
        <f t="shared" si="6"/>
        <v>31</v>
      </c>
      <c r="D36" s="20">
        <f t="shared" si="6"/>
        <v>43</v>
      </c>
      <c r="E36" s="20">
        <f t="shared" si="6"/>
        <v>81</v>
      </c>
      <c r="F36" s="20">
        <f t="shared" si="6"/>
        <v>61</v>
      </c>
      <c r="G36" s="20">
        <f t="shared" si="7"/>
        <v>98</v>
      </c>
      <c r="H36" s="21">
        <f t="shared" si="7"/>
        <v>294</v>
      </c>
    </row>
    <row r="37" spans="1:8" ht="15">
      <c r="A37" s="6" t="str">
        <f>_xlfn.CUBEMEMBER("walle RP2012",{"[Individus].[Lieu de naissance].[Lieu De Naissance 1].&amp;[5000]","[Individus].[Age d?cennal].[Age d?cennal 80].&amp;[7]"})</f>
        <v>70-79 ans</v>
      </c>
      <c r="B37" s="20">
        <f t="shared" si="6"/>
        <v>331</v>
      </c>
      <c r="C37" s="20">
        <f t="shared" si="6"/>
        <v>36</v>
      </c>
      <c r="D37" s="20">
        <f t="shared" si="6"/>
        <v>40</v>
      </c>
      <c r="E37" s="20">
        <f t="shared" si="6"/>
        <v>55</v>
      </c>
      <c r="F37" s="20">
        <f t="shared" si="6"/>
        <v>32</v>
      </c>
      <c r="G37" s="20">
        <f t="shared" si="7"/>
        <v>42</v>
      </c>
      <c r="H37" s="21">
        <f t="shared" si="7"/>
        <v>126</v>
      </c>
    </row>
    <row r="38" spans="1:8" ht="15">
      <c r="A38" s="12" t="str">
        <f>_xlfn.CUBEMEMBER("walle RP2012",{"[Individus].[Lieu de naissance].[Lieu De Naissance 1].&amp;[5000]","[Individus].[Age d?cennal].[Age d?cennal 80].&amp;[8]"})</f>
        <v>80 ans et plus</v>
      </c>
      <c r="B38" s="22">
        <f t="shared" si="6"/>
        <v>96</v>
      </c>
      <c r="C38" s="22">
        <f t="shared" si="6"/>
        <v>18</v>
      </c>
      <c r="D38" s="22">
        <f t="shared" si="6"/>
        <v>22</v>
      </c>
      <c r="E38" s="22">
        <f t="shared" si="6"/>
        <v>14</v>
      </c>
      <c r="F38" s="22">
        <f t="shared" si="6"/>
        <v>9</v>
      </c>
      <c r="G38" s="22">
        <f t="shared" si="7"/>
        <v>8</v>
      </c>
      <c r="H38" s="23">
        <f t="shared" si="7"/>
        <v>25</v>
      </c>
    </row>
    <row r="39" spans="1:8" ht="15">
      <c r="A39" s="24"/>
      <c r="B39" s="25"/>
      <c r="C39" s="25"/>
      <c r="D39" s="25"/>
      <c r="E39" s="25"/>
      <c r="F39" s="25"/>
      <c r="G39" s="14"/>
      <c r="H39" s="10" t="s">
        <v>2</v>
      </c>
    </row>
    <row r="40" spans="1:8" ht="15">
      <c r="A40" s="24"/>
      <c r="B40" s="25"/>
      <c r="C40" s="25"/>
      <c r="D40" s="25"/>
      <c r="E40" s="25"/>
      <c r="F40" s="25"/>
      <c r="G40" s="14"/>
      <c r="H40" s="1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clairet</dc:creator>
  <cp:keywords/>
  <dc:description/>
  <cp:lastModifiedBy>laurentp</cp:lastModifiedBy>
  <cp:lastPrinted>2016-04-08T21:48:56Z</cp:lastPrinted>
  <dcterms:created xsi:type="dcterms:W3CDTF">2013-09-26T20:01:44Z</dcterms:created>
  <dcterms:modified xsi:type="dcterms:W3CDTF">2016-04-08T21:49:14Z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