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2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35" windowHeight="11700" tabRatio="746" activeTab="1"/>
  </bookViews>
  <sheets>
    <sheet name="Gr1_ICF" sheetId="1" r:id="rId1"/>
    <sheet name="ICF" sheetId="2" r:id="rId2"/>
    <sheet name="Gr2_ESV" sheetId="3" r:id="rId3"/>
    <sheet name="ESV" sheetId="4" r:id="rId4"/>
    <sheet name="Gr3_POP_EVO" sheetId="5" r:id="rId5"/>
    <sheet name="POP_EVO" sheetId="6" r:id="rId6"/>
    <sheet name="Gr4_LOG_RP" sheetId="7" r:id="rId7"/>
    <sheet name="LOG_RP" sheetId="8" r:id="rId8"/>
    <sheet name="Gr5_PYRAMIDE" sheetId="9" r:id="rId9"/>
    <sheet name="PYRAMIDE" sheetId="10" r:id="rId10"/>
    <sheet name="Gr6_STRUC_AGE" sheetId="11" r:id="rId11"/>
    <sheet name="STRUC_AGE" sheetId="12" r:id="rId12"/>
    <sheet name="Gr7_dependance_pers_agees" sheetId="13" r:id="rId13"/>
    <sheet name="dependance_pers_agees" sheetId="14" r:id="rId14"/>
    <sheet name="Gr8_jeunes" sheetId="15" r:id="rId15"/>
    <sheet name="Jeunes" sheetId="16" r:id="rId16"/>
    <sheet name="Gr9_tx activite" sheetId="17" r:id="rId17"/>
    <sheet name="tx_actvite" sheetId="18" r:id="rId18"/>
    <sheet name="Tb9_POP_ACTIVE" sheetId="19" r:id="rId19"/>
    <sheet name="Gr10_Pop_avec_mig" sheetId="20" r:id="rId20"/>
    <sheet name="Pop_avec_mig" sheetId="21" r:id="rId21"/>
    <sheet name="Comp0_POP_SEXE_AGE_DETAIL" sheetId="22" r:id="rId22"/>
    <sheet name="Comp1_TB_dépendance_jeune" sheetId="23" r:id="rId23"/>
    <sheet name="Comp2_Gr_Ages_actifs" sheetId="24" r:id="rId24"/>
    <sheet name="Ages_actif" sheetId="25" r:id="rId25"/>
    <sheet name="Comp3_Calcul_Pop_active" sheetId="26" r:id="rId26"/>
  </sheets>
  <externalReferences>
    <externalReference r:id="rId29"/>
  </externalReference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<sst xmlns="http://schemas.openxmlformats.org/spreadsheetml/2006/main" count="230" uniqueCount="135">
  <si>
    <t>Evolutions passées</t>
  </si>
  <si>
    <t>Indicateur conjoncturel de fécondité (ICF)</t>
  </si>
  <si>
    <t>An</t>
  </si>
  <si>
    <t>Hommes</t>
  </si>
  <si>
    <t>Femmes</t>
  </si>
  <si>
    <t>Ensemble</t>
  </si>
  <si>
    <t>Hypothèses</t>
  </si>
  <si>
    <t>Espérance de vie à la naissance</t>
  </si>
  <si>
    <t>Hypopthèses</t>
  </si>
  <si>
    <t>Ensemble (hypothèse)</t>
  </si>
  <si>
    <t>Population</t>
  </si>
  <si>
    <t>Croissance annuelle</t>
  </si>
  <si>
    <t>TX de croissance annuel</t>
  </si>
  <si>
    <t>Durée entre deux date</t>
  </si>
  <si>
    <t>Evolution passée</t>
  </si>
  <si>
    <t>Hypopthèse</t>
  </si>
  <si>
    <t>Hommes (hypothèse)</t>
  </si>
  <si>
    <t>Femmes (hypothèse)</t>
  </si>
  <si>
    <t>Nombre de personnes</t>
  </si>
  <si>
    <t>Nombre de personnes par logement</t>
  </si>
  <si>
    <t>Résidences principales</t>
  </si>
  <si>
    <t>Âge quinquennal</t>
  </si>
  <si>
    <t>Moins de 5 ans</t>
  </si>
  <si>
    <t>5-9 ans</t>
  </si>
  <si>
    <t>10-14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</si>
  <si>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</si>
  <si>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</si>
  <si>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</si>
  <si>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</si>
  <si>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</si>
  <si>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</si>
  <si>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</si>
  <si>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</si>
  <si>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</si>
  <si>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</si>
  <si>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</si>
  <si>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</si>
  <si>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</si>
  <si>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80 ans et plus</t>
  </si>
  <si>
    <t>Total général par sexe</t>
  </si>
  <si>
    <t>Total</t>
  </si>
  <si>
    <t>Total général</t>
  </si>
  <si>
    <t>0-19 ans</t>
  </si>
  <si>
    <t>20-59 ans</t>
  </si>
  <si>
    <t>60 ans et plus</t>
  </si>
  <si>
    <t>Pyramide des âges de la Polynésie française</t>
  </si>
  <si>
    <t>2027</t>
  </si>
  <si>
    <t>2007</t>
  </si>
  <si>
    <t>1988</t>
  </si>
  <si>
    <t>Âge</t>
  </si>
  <si>
    <t>Structure par âge</t>
  </si>
  <si>
    <t>65 ans et plus</t>
  </si>
  <si>
    <t>Population de 60 ans ou plus / population de 20 à 59 ans (‰)</t>
  </si>
  <si>
    <t>Population de 65 ans ou plus / population de 20 à 64 ans (‰)</t>
  </si>
  <si>
    <t>Évolution projetée du rapport de dépendance (‰)</t>
  </si>
  <si>
    <t>Année</t>
  </si>
  <si>
    <t>Population de 19 ans et moins / population de 20 à 64 ans (‰)</t>
  </si>
  <si>
    <t>Population de 19 ans et moins / population de 20 à 59 ans (‰)</t>
  </si>
  <si>
    <t>Date</t>
  </si>
  <si>
    <t>Naissances</t>
  </si>
  <si>
    <t>Personnes âgées de 0 à 19 ans</t>
  </si>
  <si>
    <t>Femmes âgées de 15-49 ans</t>
  </si>
  <si>
    <t>Évolution projetée du nombre de jeunes, de femmes en âge de procréer et de naissance</t>
  </si>
  <si>
    <t>Homme</t>
  </si>
  <si>
    <t>Femme</t>
  </si>
  <si>
    <t>Évolution projetée du rapport de dépendance des jeunes (‰)</t>
  </si>
  <si>
    <t>Taux d'activité en 2007 (%)</t>
  </si>
  <si>
    <t>Âge quinquenal</t>
  </si>
  <si>
    <t>Pop. de 15 ans et +</t>
  </si>
  <si>
    <t>Pop. active</t>
  </si>
  <si>
    <t>20-59</t>
  </si>
  <si>
    <t>60 et +</t>
  </si>
  <si>
    <t>Taux d'activité</t>
  </si>
  <si>
    <t>ensempble</t>
  </si>
  <si>
    <t>Ensemble de la population</t>
  </si>
  <si>
    <t>20 à 59 ans (Taux de croissance annuelle - %)</t>
  </si>
  <si>
    <t>Population totale (Taux de croissance annuelle - %)</t>
  </si>
  <si>
    <t>20-64 ans (Nb)</t>
  </si>
  <si>
    <t>65 ans et plus (Nb)</t>
  </si>
  <si>
    <t>20-59 ans (Nb)</t>
  </si>
  <si>
    <t>60 ans et plus (Nb)</t>
  </si>
  <si>
    <t>0-19 ans (Nb)</t>
  </si>
  <si>
    <t>60 ans et plus 5Nb)</t>
  </si>
  <si>
    <t>Pers. Âgées de 20 à 59 ans</t>
  </si>
  <si>
    <t>Evolution de la population active des 15 ans et plus</t>
  </si>
  <si>
    <t>Pop de 15 ans et plus et pop âctive (ensemble) par âge</t>
  </si>
  <si>
    <t>Population active par sexe et  âge</t>
  </si>
  <si>
    <t>Population par sexe et âge</t>
  </si>
  <si>
    <t>Tx d'emploi dans pop active</t>
  </si>
  <si>
    <t>Scénario de référence</t>
  </si>
  <si>
    <t>Scénario tendantiel</t>
  </si>
  <si>
    <t>Scénario extrême</t>
  </si>
  <si>
    <t>Scénario probable</t>
  </si>
  <si>
    <t>femme</t>
  </si>
  <si>
    <r>
      <t xml:space="preserve">Nombre de logements
</t>
    </r>
    <r>
      <rPr>
        <b/>
        <i/>
        <sz val="11"/>
        <color indexed="8"/>
        <rFont val="Calibri"/>
        <family val="2"/>
      </rPr>
      <t>En pointillé, hypothèse</t>
    </r>
  </si>
  <si>
    <t xml:space="preserve"> 0-4 </t>
  </si>
  <si>
    <t xml:space="preserve"> 5-9 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</si>
  <si>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</si>
  <si>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</si>
  <si>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</si>
  <si>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</si>
  <si>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</si>
  <si>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</si>
  <si>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</si>
  <si>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</si>
  <si>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</si>
  <si>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</si>
  <si>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</si>
  <si>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</si>
  <si>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</si>
  <si>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 xml:space="preserve"> 80+</t>
  </si>
  <si>
    <t>10-14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</si>
  <si>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</si>
  <si>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</si>
  <si>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</si>
  <si>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</si>
  <si>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</si>
  <si>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</si>
  <si>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</si>
  <si>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</si>
  <si>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</si>
  <si>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</si>
  <si>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</si>
  <si>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</si>
  <si>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</si>
  <si>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</si>
  <si>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</si>
  <si>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</si>
  <si>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</si>
  <si>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</si>
  <si>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</si>
  <si>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De la population de 15 ans et plus à la population active</t>
  </si>
  <si>
    <t>Taux de croissance annuelle des personnes âgées de 20 à 59 ans comparées à ceux de la population</t>
  </si>
  <si>
    <t>Population au 31/12 de l'année par sexe et âge entre le 31/12/2007 et le 31/12/2027</t>
  </si>
  <si>
    <t>Population avec migrations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</si>
</sst>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-mmm\-yy;@"/>
    <numFmt numFmtId="165" formatCode="_-* #,##0\ _€_-;\-* #,##0\ _€_-;_-* &quot;-&quot;??\ _€_-;_-@_-"/>
    <numFmt numFmtId="166" formatCode="#,##0;#,##0"/>
    <numFmt numFmtId="167" formatCode="0.00%;0.00%"/>
    <numFmt numFmtId="168" formatCode="yyyy"/>
    <numFmt numFmtId="169" formatCode="0.0"/>
    <numFmt numFmtId="170" formatCode="0.0%"/>
    <numFmt numFmtId="171" formatCode="#,##0.0"/>
    <numFmt numFmtId="172" formatCode="yyyy;@"/>
    <numFmt numFmtId="173" formatCode="_-* #,##0.0\ _€_-;\-* #,##0.0\ _€_-;_-* &quot;-&quot;??\ _€_-;_-@_-"/>
    <numFmt numFmtId="174" formatCode="#,##0\ \ ;#,##0\ \ "/>
    <numFmt numFmtId="175" formatCode="[$-40C]dddd\ d\ mmmm\ yyyy"/>
    <numFmt numFmtId="176" formatCode="_-* #,##0.000\ _€_-;\-* #,##0.000\ _€_-;_-* &quot;-&quot;??\ _€_-;_-@_-"/>
    <numFmt numFmtId="177" formatCode="_-* #,##0.0000\ _€_-;\-* #,##0.0000\ _€_-;_-* &quot;-&quot;??\ _€_-;_-@_-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indexed="18"/>
      <name val="Calibri"/>
      <family val="2"/>
    </font>
    <font>
      <sz val="11"/>
      <color indexed="5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0"/>
    </font>
    <font>
      <sz val="18"/>
      <color indexed="60"/>
      <name val="Calibri"/>
      <family val="0"/>
    </font>
    <font>
      <sz val="18"/>
      <color indexed="62"/>
      <name val="Calibri"/>
      <family val="0"/>
    </font>
    <font>
      <sz val="18"/>
      <color indexed="57"/>
      <name val="Calibri"/>
      <family val="0"/>
    </font>
    <font>
      <b/>
      <sz val="14"/>
      <color indexed="56"/>
      <name val="Calibri"/>
      <family val="0"/>
    </font>
    <font>
      <b/>
      <sz val="12"/>
      <color indexed="8"/>
      <name val="Calibri"/>
      <family val="0"/>
    </font>
    <font>
      <b/>
      <sz val="14"/>
      <color indexed="62"/>
      <name val="Calibri"/>
      <family val="0"/>
    </font>
    <font>
      <i/>
      <sz val="14"/>
      <color indexed="10"/>
      <name val="Calibri"/>
      <family val="0"/>
    </font>
    <font>
      <b/>
      <i/>
      <sz val="12"/>
      <color indexed="10"/>
      <name val="Calibri"/>
      <family val="0"/>
    </font>
    <font>
      <i/>
      <sz val="12"/>
      <color indexed="8"/>
      <name val="Calibri"/>
      <family val="0"/>
    </font>
    <font>
      <sz val="12"/>
      <color indexed="56"/>
      <name val="Calibri"/>
      <family val="0"/>
    </font>
    <font>
      <b/>
      <sz val="14"/>
      <color indexed="10"/>
      <name val="Calibri"/>
      <family val="0"/>
    </font>
    <font>
      <sz val="12"/>
      <color indexed="10"/>
      <name val="Calibri"/>
      <family val="0"/>
    </font>
    <font>
      <b/>
      <sz val="16.8"/>
      <color indexed="8"/>
      <name val="Calibri"/>
      <family val="0"/>
    </font>
    <font>
      <i/>
      <sz val="11"/>
      <color indexed="8"/>
      <name val="Calibri"/>
      <family val="0"/>
    </font>
    <font>
      <b/>
      <sz val="14"/>
      <color indexed="60"/>
      <name val="Calibri"/>
      <family val="0"/>
    </font>
    <font>
      <b/>
      <sz val="10"/>
      <color indexed="59"/>
      <name val="Calibri"/>
      <family val="0"/>
    </font>
    <font>
      <sz val="10"/>
      <color indexed="10"/>
      <name val="Calibri"/>
      <family val="0"/>
    </font>
    <font>
      <b/>
      <sz val="11"/>
      <color indexed="54"/>
      <name val="Calibri"/>
      <family val="0"/>
    </font>
    <font>
      <i/>
      <sz val="10"/>
      <color indexed="54"/>
      <name val="Calibri"/>
      <family val="0"/>
    </font>
    <font>
      <b/>
      <sz val="11"/>
      <color indexed="57"/>
      <name val="Calibri"/>
      <family val="0"/>
    </font>
    <font>
      <i/>
      <sz val="10"/>
      <color indexed="57"/>
      <name val="Calibri"/>
      <family val="0"/>
    </font>
    <font>
      <i/>
      <sz val="9"/>
      <color indexed="57"/>
      <name val="Calibri"/>
      <family val="0"/>
    </font>
    <font>
      <sz val="10.5"/>
      <color indexed="8"/>
      <name val="Calibri"/>
      <family val="0"/>
    </font>
    <font>
      <b/>
      <sz val="11"/>
      <color indexed="4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3" tint="-0.24997000396251678"/>
      <name val="Calibri"/>
      <family val="2"/>
    </font>
    <font>
      <sz val="11"/>
      <color theme="6" tint="-0.499969989061355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/>
      <bottom style="thin">
        <color theme="4" tint="0.39998000860214233"/>
      </bottom>
    </border>
    <border>
      <left/>
      <right style="thin">
        <color theme="4" tint="0.39998000860214233"/>
      </right>
      <top/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  <border>
      <left style="thin">
        <color theme="4"/>
      </left>
      <right style="thin">
        <color theme="4"/>
      </right>
      <top/>
      <bottom/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>
        <color theme="4"/>
      </left>
      <right/>
      <top style="thin">
        <color theme="4"/>
      </top>
      <bottom style="thin">
        <color theme="4" tint="0.39998000860214233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 tint="0.39998000860214233"/>
      </bottom>
    </border>
    <border>
      <left style="thin">
        <color theme="4"/>
      </left>
      <right/>
      <top/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 tint="0.39998000860214233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 tint="0.39998000860214233"/>
      </bottom>
    </border>
    <border>
      <left style="thin">
        <color theme="4" tint="0.3999800086021423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39998000860214233"/>
      </right>
      <top>
        <color indexed="63"/>
      </top>
      <bottom>
        <color indexed="63"/>
      </bottom>
    </border>
    <border>
      <left style="thin">
        <color theme="4" tint="0.39998000860214233"/>
      </left>
      <right>
        <color indexed="63"/>
      </right>
      <top style="double">
        <color theme="4"/>
      </top>
      <bottom style="thin">
        <color theme="4" tint="0.39998000860214233"/>
      </bottom>
    </border>
    <border>
      <left>
        <color indexed="63"/>
      </left>
      <right>
        <color indexed="63"/>
      </right>
      <top style="double">
        <color theme="4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double">
        <color theme="4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241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62" fillId="0" borderId="0" xfId="0" applyFont="1" applyAlignment="1">
      <alignment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77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vertical="top" wrapText="1"/>
    </xf>
    <xf numFmtId="0" fontId="0" fillId="0" borderId="0" xfId="50" applyNumberFormat="1" applyFont="1" applyAlignment="1">
      <alignment vertical="center"/>
    </xf>
    <xf numFmtId="0" fontId="0" fillId="0" borderId="0" xfId="50" applyNumberFormat="1" applyFont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4" fontId="62" fillId="0" borderId="0" xfId="0" applyNumberFormat="1" applyFont="1" applyAlignment="1">
      <alignment/>
    </xf>
    <xf numFmtId="165" fontId="2" fillId="0" borderId="0" xfId="45" applyNumberFormat="1" applyFont="1" applyAlignment="1">
      <alignment/>
    </xf>
    <xf numFmtId="165" fontId="0" fillId="0" borderId="0" xfId="0" applyNumberForma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33" borderId="0" xfId="0" applyFont="1" applyFill="1" applyBorder="1" applyAlignment="1">
      <alignment vertical="center"/>
    </xf>
    <xf numFmtId="0" fontId="79" fillId="0" borderId="10" xfId="0" applyFont="1" applyBorder="1" applyAlignment="1">
      <alignment horizontal="left" vertical="center"/>
    </xf>
    <xf numFmtId="3" fontId="79" fillId="0" borderId="11" xfId="50" applyNumberFormat="1" applyFont="1" applyBorder="1" applyAlignment="1">
      <alignment vertical="center"/>
    </xf>
    <xf numFmtId="166" fontId="81" fillId="0" borderId="11" xfId="50" applyNumberFormat="1" applyFont="1" applyBorder="1" applyAlignment="1">
      <alignment vertical="center"/>
    </xf>
    <xf numFmtId="167" fontId="79" fillId="0" borderId="0" xfId="0" applyNumberFormat="1" applyFont="1" applyAlignment="1">
      <alignment vertical="center"/>
    </xf>
    <xf numFmtId="3" fontId="79" fillId="0" borderId="0" xfId="0" applyNumberFormat="1" applyFont="1" applyAlignment="1">
      <alignment vertical="center"/>
    </xf>
    <xf numFmtId="0" fontId="76" fillId="33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75" fillId="0" borderId="12" xfId="0" applyFont="1" applyBorder="1" applyAlignment="1">
      <alignment horizontal="left" vertical="center"/>
    </xf>
    <xf numFmtId="0" fontId="80" fillId="33" borderId="13" xfId="0" applyFont="1" applyFill="1" applyBorder="1" applyAlignment="1">
      <alignment horizontal="center" vertical="center"/>
    </xf>
    <xf numFmtId="0" fontId="80" fillId="33" borderId="14" xfId="0" applyFont="1" applyFill="1" applyBorder="1" applyAlignment="1">
      <alignment horizontal="center" vertical="center"/>
    </xf>
    <xf numFmtId="166" fontId="79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5" fontId="2" fillId="0" borderId="0" xfId="45" applyNumberFormat="1" applyFont="1" applyBorder="1" applyAlignment="1">
      <alignment/>
    </xf>
    <xf numFmtId="165" fontId="2" fillId="0" borderId="0" xfId="45" applyNumberFormat="1" applyFont="1" applyBorder="1" applyAlignment="1">
      <alignment/>
    </xf>
    <xf numFmtId="0" fontId="79" fillId="0" borderId="11" xfId="50" applyNumberFormat="1" applyFont="1" applyBorder="1" applyAlignment="1">
      <alignment vertical="center"/>
    </xf>
    <xf numFmtId="0" fontId="81" fillId="0" borderId="11" xfId="5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wrapText="1"/>
    </xf>
    <xf numFmtId="0" fontId="79" fillId="0" borderId="15" xfId="0" applyFont="1" applyBorder="1" applyAlignment="1">
      <alignment horizontal="left" vertical="center"/>
    </xf>
    <xf numFmtId="3" fontId="79" fillId="0" borderId="15" xfId="50" applyNumberFormat="1" applyFont="1" applyBorder="1" applyAlignment="1">
      <alignment vertical="center"/>
    </xf>
    <xf numFmtId="166" fontId="81" fillId="0" borderId="15" xfId="50" applyNumberFormat="1" applyFont="1" applyBorder="1" applyAlignment="1">
      <alignment vertical="center"/>
    </xf>
    <xf numFmtId="166" fontId="0" fillId="0" borderId="0" xfId="0" applyNumberFormat="1" applyBorder="1" applyAlignment="1">
      <alignment/>
    </xf>
    <xf numFmtId="0" fontId="79" fillId="0" borderId="0" xfId="0" applyFont="1" applyFill="1" applyBorder="1" applyAlignment="1">
      <alignment horizontal="left" vertical="center"/>
    </xf>
    <xf numFmtId="171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9" fontId="75" fillId="0" borderId="0" xfId="0" applyNumberFormat="1" applyFont="1" applyBorder="1" applyAlignment="1">
      <alignment/>
    </xf>
    <xf numFmtId="169" fontId="84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0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5" fillId="0" borderId="16" xfId="0" applyFont="1" applyFill="1" applyBorder="1" applyAlignment="1">
      <alignment vertical="center"/>
    </xf>
    <xf numFmtId="170" fontId="0" fillId="0" borderId="13" xfId="50" applyNumberFormat="1" applyFont="1" applyFill="1" applyBorder="1" applyAlignment="1">
      <alignment vertical="center"/>
    </xf>
    <xf numFmtId="170" fontId="0" fillId="0" borderId="14" xfId="0" applyNumberFormat="1" applyFont="1" applyFill="1" applyBorder="1" applyAlignment="1">
      <alignment vertical="center"/>
    </xf>
    <xf numFmtId="0" fontId="75" fillId="34" borderId="17" xfId="0" applyFont="1" applyFill="1" applyBorder="1" applyAlignment="1">
      <alignment vertical="center"/>
    </xf>
    <xf numFmtId="170" fontId="0" fillId="34" borderId="18" xfId="50" applyNumberFormat="1" applyFont="1" applyFill="1" applyBorder="1" applyAlignment="1">
      <alignment vertical="center"/>
    </xf>
    <xf numFmtId="170" fontId="0" fillId="34" borderId="19" xfId="0" applyNumberFormat="1" applyFont="1" applyFill="1" applyBorder="1" applyAlignment="1">
      <alignment vertical="center"/>
    </xf>
    <xf numFmtId="0" fontId="75" fillId="0" borderId="17" xfId="0" applyFont="1" applyFill="1" applyBorder="1" applyAlignment="1">
      <alignment vertical="center"/>
    </xf>
    <xf numFmtId="170" fontId="0" fillId="0" borderId="18" xfId="50" applyNumberFormat="1" applyFont="1" applyFill="1" applyBorder="1" applyAlignment="1">
      <alignment vertical="center"/>
    </xf>
    <xf numFmtId="170" fontId="0" fillId="0" borderId="19" xfId="0" applyNumberFormat="1" applyFont="1" applyFill="1" applyBorder="1" applyAlignment="1">
      <alignment vertical="center"/>
    </xf>
    <xf numFmtId="170" fontId="75" fillId="34" borderId="18" xfId="50" applyNumberFormat="1" applyFont="1" applyFill="1" applyBorder="1" applyAlignment="1">
      <alignment vertical="center"/>
    </xf>
    <xf numFmtId="170" fontId="75" fillId="34" borderId="19" xfId="0" applyNumberFormat="1" applyFont="1" applyFill="1" applyBorder="1" applyAlignment="1">
      <alignment vertical="center"/>
    </xf>
    <xf numFmtId="166" fontId="81" fillId="0" borderId="20" xfId="5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165" fontId="0" fillId="0" borderId="0" xfId="45" applyNumberFormat="1" applyFont="1" applyAlignment="1">
      <alignment vertical="top" wrapText="1"/>
    </xf>
    <xf numFmtId="165" fontId="0" fillId="0" borderId="0" xfId="45" applyNumberFormat="1" applyFont="1" applyAlignment="1">
      <alignment/>
    </xf>
    <xf numFmtId="9" fontId="0" fillId="0" borderId="0" xfId="50" applyFont="1" applyAlignment="1">
      <alignment/>
    </xf>
    <xf numFmtId="165" fontId="0" fillId="0" borderId="0" xfId="45" applyNumberFormat="1" applyFont="1" applyFill="1" applyAlignment="1">
      <alignment/>
    </xf>
    <xf numFmtId="9" fontId="0" fillId="0" borderId="0" xfId="50" applyFont="1" applyFill="1" applyAlignment="1">
      <alignment/>
    </xf>
    <xf numFmtId="0" fontId="0" fillId="0" borderId="0" xfId="0" applyAlignment="1">
      <alignment/>
    </xf>
    <xf numFmtId="0" fontId="81" fillId="0" borderId="21" xfId="0" applyFont="1" applyBorder="1" applyAlignment="1">
      <alignment horizontal="center" vertical="center"/>
    </xf>
    <xf numFmtId="165" fontId="75" fillId="0" borderId="10" xfId="45" applyNumberFormat="1" applyFont="1" applyBorder="1" applyAlignment="1">
      <alignment horizontal="right" vertical="center"/>
    </xf>
    <xf numFmtId="165" fontId="79" fillId="34" borderId="19" xfId="45" applyNumberFormat="1" applyFont="1" applyFill="1" applyBorder="1" applyAlignment="1">
      <alignment vertical="center"/>
    </xf>
    <xf numFmtId="165" fontId="79" fillId="0" borderId="19" xfId="45" applyNumberFormat="1" applyFont="1" applyBorder="1" applyAlignment="1">
      <alignment vertical="center"/>
    </xf>
    <xf numFmtId="165" fontId="81" fillId="0" borderId="19" xfId="45" applyNumberFormat="1" applyFont="1" applyBorder="1" applyAlignment="1">
      <alignment vertical="center"/>
    </xf>
    <xf numFmtId="165" fontId="79" fillId="34" borderId="18" xfId="45" applyNumberFormat="1" applyFont="1" applyFill="1" applyBorder="1" applyAlignment="1">
      <alignment vertical="center"/>
    </xf>
    <xf numFmtId="165" fontId="79" fillId="0" borderId="18" xfId="45" applyNumberFormat="1" applyFont="1" applyBorder="1" applyAlignment="1">
      <alignment vertical="center"/>
    </xf>
    <xf numFmtId="165" fontId="81" fillId="0" borderId="18" xfId="45" applyNumberFormat="1" applyFont="1" applyBorder="1" applyAlignment="1">
      <alignment vertical="center"/>
    </xf>
    <xf numFmtId="0" fontId="76" fillId="33" borderId="16" xfId="0" applyFont="1" applyFill="1" applyBorder="1" applyAlignment="1">
      <alignment vertical="top" wrapText="1"/>
    </xf>
    <xf numFmtId="0" fontId="76" fillId="33" borderId="14" xfId="0" applyFont="1" applyFill="1" applyBorder="1" applyAlignment="1">
      <alignment vertical="top" wrapText="1"/>
    </xf>
    <xf numFmtId="168" fontId="75" fillId="34" borderId="17" xfId="0" applyNumberFormat="1" applyFont="1" applyFill="1" applyBorder="1" applyAlignment="1">
      <alignment/>
    </xf>
    <xf numFmtId="165" fontId="0" fillId="34" borderId="19" xfId="45" applyNumberFormat="1" applyFont="1" applyFill="1" applyBorder="1" applyAlignment="1">
      <alignment/>
    </xf>
    <xf numFmtId="168" fontId="75" fillId="0" borderId="17" xfId="0" applyNumberFormat="1" applyFont="1" applyBorder="1" applyAlignment="1">
      <alignment/>
    </xf>
    <xf numFmtId="165" fontId="0" fillId="0" borderId="19" xfId="45" applyNumberFormat="1" applyFont="1" applyBorder="1" applyAlignment="1">
      <alignment/>
    </xf>
    <xf numFmtId="173" fontId="0" fillId="0" borderId="19" xfId="45" applyNumberFormat="1" applyFont="1" applyBorder="1" applyAlignment="1">
      <alignment/>
    </xf>
    <xf numFmtId="168" fontId="3" fillId="0" borderId="16" xfId="0" applyNumberFormat="1" applyFont="1" applyFill="1" applyBorder="1" applyAlignment="1">
      <alignment horizontal="center"/>
    </xf>
    <xf numFmtId="165" fontId="0" fillId="0" borderId="14" xfId="45" applyNumberFormat="1" applyFont="1" applyFill="1" applyBorder="1" applyAlignment="1">
      <alignment/>
    </xf>
    <xf numFmtId="168" fontId="0" fillId="34" borderId="17" xfId="0" applyNumberFormat="1" applyFont="1" applyFill="1" applyBorder="1" applyAlignment="1">
      <alignment/>
    </xf>
    <xf numFmtId="168" fontId="75" fillId="34" borderId="17" xfId="0" applyNumberFormat="1" applyFont="1" applyFill="1" applyBorder="1" applyAlignment="1">
      <alignment horizontal="center"/>
    </xf>
    <xf numFmtId="43" fontId="0" fillId="0" borderId="13" xfId="45" applyFont="1" applyFill="1" applyBorder="1" applyAlignment="1">
      <alignment/>
    </xf>
    <xf numFmtId="43" fontId="0" fillId="34" borderId="19" xfId="45" applyFont="1" applyFill="1" applyBorder="1" applyAlignment="1">
      <alignment/>
    </xf>
    <xf numFmtId="173" fontId="0" fillId="34" borderId="19" xfId="45" applyNumberFormat="1" applyFont="1" applyFill="1" applyBorder="1" applyAlignment="1">
      <alignment/>
    </xf>
    <xf numFmtId="165" fontId="0" fillId="34" borderId="17" xfId="45" applyNumberFormat="1" applyFont="1" applyFill="1" applyBorder="1" applyAlignment="1">
      <alignment/>
    </xf>
    <xf numFmtId="43" fontId="5" fillId="0" borderId="16" xfId="45" applyFont="1" applyFill="1" applyBorder="1" applyAlignment="1">
      <alignment horizontal="center"/>
    </xf>
    <xf numFmtId="43" fontId="0" fillId="34" borderId="17" xfId="45" applyFont="1" applyFill="1" applyBorder="1" applyAlignment="1">
      <alignment/>
    </xf>
    <xf numFmtId="165" fontId="0" fillId="0" borderId="13" xfId="45" applyNumberFormat="1" applyFont="1" applyFill="1" applyBorder="1" applyAlignment="1">
      <alignment vertical="center"/>
    </xf>
    <xf numFmtId="165" fontId="0" fillId="0" borderId="16" xfId="45" applyNumberFormat="1" applyFont="1" applyFill="1" applyBorder="1" applyAlignment="1">
      <alignment vertical="center"/>
    </xf>
    <xf numFmtId="165" fontId="0" fillId="34" borderId="18" xfId="45" applyNumberFormat="1" applyFont="1" applyFill="1" applyBorder="1" applyAlignment="1">
      <alignment vertical="center"/>
    </xf>
    <xf numFmtId="165" fontId="0" fillId="34" borderId="17" xfId="45" applyNumberFormat="1" applyFont="1" applyFill="1" applyBorder="1" applyAlignment="1">
      <alignment vertical="center"/>
    </xf>
    <xf numFmtId="165" fontId="0" fillId="0" borderId="18" xfId="45" applyNumberFormat="1" applyFont="1" applyFill="1" applyBorder="1" applyAlignment="1">
      <alignment vertical="center"/>
    </xf>
    <xf numFmtId="165" fontId="0" fillId="0" borderId="17" xfId="45" applyNumberFormat="1" applyFont="1" applyFill="1" applyBorder="1" applyAlignment="1">
      <alignment vertical="center"/>
    </xf>
    <xf numFmtId="165" fontId="75" fillId="34" borderId="18" xfId="45" applyNumberFormat="1" applyFont="1" applyFill="1" applyBorder="1" applyAlignment="1">
      <alignment vertical="center"/>
    </xf>
    <xf numFmtId="165" fontId="75" fillId="34" borderId="17" xfId="45" applyNumberFormat="1" applyFont="1" applyFill="1" applyBorder="1" applyAlignment="1">
      <alignment vertical="center"/>
    </xf>
    <xf numFmtId="165" fontId="0" fillId="0" borderId="16" xfId="0" applyNumberFormat="1" applyFont="1" applyFill="1" applyBorder="1" applyAlignment="1">
      <alignment vertical="center"/>
    </xf>
    <xf numFmtId="165" fontId="0" fillId="0" borderId="14" xfId="0" applyNumberFormat="1" applyFont="1" applyFill="1" applyBorder="1" applyAlignment="1">
      <alignment vertical="center"/>
    </xf>
    <xf numFmtId="165" fontId="0" fillId="34" borderId="17" xfId="0" applyNumberFormat="1" applyFont="1" applyFill="1" applyBorder="1" applyAlignment="1">
      <alignment vertical="center"/>
    </xf>
    <xf numFmtId="165" fontId="0" fillId="34" borderId="19" xfId="0" applyNumberFormat="1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9" xfId="0" applyNumberFormat="1" applyFont="1" applyFill="1" applyBorder="1" applyAlignment="1">
      <alignment vertical="center"/>
    </xf>
    <xf numFmtId="165" fontId="75" fillId="34" borderId="17" xfId="0" applyNumberFormat="1" applyFont="1" applyFill="1" applyBorder="1" applyAlignment="1">
      <alignment vertical="center"/>
    </xf>
    <xf numFmtId="165" fontId="75" fillId="34" borderId="19" xfId="0" applyNumberFormat="1" applyFont="1" applyFill="1" applyBorder="1" applyAlignment="1">
      <alignment vertical="center"/>
    </xf>
    <xf numFmtId="0" fontId="85" fillId="0" borderId="0" xfId="0" applyFont="1" applyAlignment="1">
      <alignment/>
    </xf>
    <xf numFmtId="169" fontId="0" fillId="13" borderId="14" xfId="0" applyNumberFormat="1" applyFont="1" applyFill="1" applyBorder="1" applyAlignment="1">
      <alignment/>
    </xf>
    <xf numFmtId="169" fontId="0" fillId="13" borderId="13" xfId="0" applyNumberFormat="1" applyFont="1" applyFill="1" applyBorder="1" applyAlignment="1">
      <alignment/>
    </xf>
    <xf numFmtId="169" fontId="0" fillId="13" borderId="19" xfId="0" applyNumberFormat="1" applyFont="1" applyFill="1" applyBorder="1" applyAlignment="1">
      <alignment/>
    </xf>
    <xf numFmtId="169" fontId="0" fillId="13" borderId="18" xfId="0" applyNumberFormat="1" applyFont="1" applyFill="1" applyBorder="1" applyAlignment="1">
      <alignment/>
    </xf>
    <xf numFmtId="0" fontId="81" fillId="0" borderId="22" xfId="0" applyFont="1" applyBorder="1" applyAlignment="1">
      <alignment vertical="center"/>
    </xf>
    <xf numFmtId="14" fontId="0" fillId="34" borderId="17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/>
    </xf>
    <xf numFmtId="14" fontId="0" fillId="0" borderId="1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0" fontId="76" fillId="33" borderId="16" xfId="0" applyNumberFormat="1" applyFont="1" applyFill="1" applyBorder="1" applyAlignment="1">
      <alignment vertical="top" wrapText="1"/>
    </xf>
    <xf numFmtId="0" fontId="0" fillId="34" borderId="17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165" fontId="0" fillId="34" borderId="19" xfId="0" applyNumberFormat="1" applyFont="1" applyFill="1" applyBorder="1" applyAlignment="1">
      <alignment/>
    </xf>
    <xf numFmtId="165" fontId="0" fillId="0" borderId="19" xfId="0" applyNumberFormat="1" applyFont="1" applyBorder="1" applyAlignment="1">
      <alignment/>
    </xf>
    <xf numFmtId="0" fontId="76" fillId="33" borderId="16" xfId="0" applyFont="1" applyFill="1" applyBorder="1" applyAlignment="1">
      <alignment/>
    </xf>
    <xf numFmtId="0" fontId="76" fillId="33" borderId="14" xfId="0" applyFont="1" applyFill="1" applyBorder="1" applyAlignment="1">
      <alignment/>
    </xf>
    <xf numFmtId="0" fontId="76" fillId="33" borderId="23" xfId="0" applyFont="1" applyFill="1" applyBorder="1" applyAlignment="1">
      <alignment/>
    </xf>
    <xf numFmtId="0" fontId="76" fillId="33" borderId="24" xfId="0" applyFont="1" applyFill="1" applyBorder="1" applyAlignment="1">
      <alignment/>
    </xf>
    <xf numFmtId="0" fontId="75" fillId="34" borderId="17" xfId="0" applyFont="1" applyFill="1" applyBorder="1" applyAlignment="1">
      <alignment/>
    </xf>
    <xf numFmtId="169" fontId="0" fillId="34" borderId="19" xfId="0" applyNumberFormat="1" applyFont="1" applyFill="1" applyBorder="1" applyAlignment="1">
      <alignment/>
    </xf>
    <xf numFmtId="0" fontId="75" fillId="0" borderId="17" xfId="0" applyFont="1" applyFill="1" applyBorder="1" applyAlignment="1">
      <alignment/>
    </xf>
    <xf numFmtId="169" fontId="0" fillId="0" borderId="19" xfId="0" applyNumberFormat="1" applyFont="1" applyFill="1" applyBorder="1" applyAlignment="1">
      <alignment/>
    </xf>
    <xf numFmtId="0" fontId="76" fillId="33" borderId="16" xfId="0" applyFont="1" applyFill="1" applyBorder="1" applyAlignment="1">
      <alignment vertical="center" wrapText="1"/>
    </xf>
    <xf numFmtId="0" fontId="76" fillId="33" borderId="14" xfId="0" applyFont="1" applyFill="1" applyBorder="1" applyAlignment="1">
      <alignment vertical="center" wrapText="1"/>
    </xf>
    <xf numFmtId="0" fontId="76" fillId="33" borderId="13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/>
    </xf>
    <xf numFmtId="43" fontId="0" fillId="34" borderId="19" xfId="45" applyNumberFormat="1" applyFont="1" applyFill="1" applyBorder="1" applyAlignment="1">
      <alignment vertical="center"/>
    </xf>
    <xf numFmtId="43" fontId="0" fillId="34" borderId="18" xfId="45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43" fontId="0" fillId="0" borderId="19" xfId="45" applyNumberFormat="1" applyFont="1" applyBorder="1" applyAlignment="1">
      <alignment vertical="center"/>
    </xf>
    <xf numFmtId="43" fontId="0" fillId="0" borderId="18" xfId="45" applyNumberFormat="1" applyFont="1" applyBorder="1" applyAlignment="1">
      <alignment vertical="center"/>
    </xf>
    <xf numFmtId="0" fontId="76" fillId="33" borderId="13" xfId="0" applyFont="1" applyFill="1" applyBorder="1" applyAlignment="1">
      <alignment vertical="top" wrapText="1"/>
    </xf>
    <xf numFmtId="0" fontId="0" fillId="34" borderId="17" xfId="0" applyFont="1" applyFill="1" applyBorder="1" applyAlignment="1">
      <alignment/>
    </xf>
    <xf numFmtId="173" fontId="0" fillId="34" borderId="18" xfId="45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173" fontId="0" fillId="0" borderId="18" xfId="45" applyNumberFormat="1" applyFont="1" applyBorder="1" applyAlignment="1">
      <alignment/>
    </xf>
    <xf numFmtId="0" fontId="76" fillId="33" borderId="14" xfId="50" applyNumberFormat="1" applyFont="1" applyFill="1" applyBorder="1" applyAlignment="1">
      <alignment vertical="top" wrapText="1"/>
    </xf>
    <xf numFmtId="0" fontId="0" fillId="34" borderId="19" xfId="0" applyFont="1" applyFill="1" applyBorder="1" applyAlignment="1">
      <alignment/>
    </xf>
    <xf numFmtId="0" fontId="0" fillId="34" borderId="19" xfId="50" applyNumberFormat="1" applyFont="1" applyFill="1" applyBorder="1" applyAlignment="1">
      <alignment/>
    </xf>
    <xf numFmtId="2" fontId="0" fillId="34" borderId="19" xfId="0" applyNumberFormat="1" applyFont="1" applyFill="1" applyBorder="1" applyAlignment="1">
      <alignment/>
    </xf>
    <xf numFmtId="0" fontId="0" fillId="34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9" xfId="5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3" fontId="0" fillId="34" borderId="19" xfId="45" applyNumberFormat="1" applyFont="1" applyFill="1" applyBorder="1" applyAlignment="1">
      <alignment/>
    </xf>
    <xf numFmtId="3" fontId="0" fillId="0" borderId="19" xfId="45" applyNumberFormat="1" applyFont="1" applyBorder="1" applyAlignment="1">
      <alignment/>
    </xf>
    <xf numFmtId="0" fontId="76" fillId="33" borderId="16" xfId="0" applyFont="1" applyFill="1" applyBorder="1" applyAlignment="1">
      <alignment horizontal="left" vertical="top" wrapText="1"/>
    </xf>
    <xf numFmtId="0" fontId="76" fillId="33" borderId="14" xfId="0" applyFont="1" applyFill="1" applyBorder="1" applyAlignment="1">
      <alignment horizontal="left" vertical="top" wrapText="1"/>
    </xf>
    <xf numFmtId="0" fontId="76" fillId="33" borderId="13" xfId="0" applyFont="1" applyFill="1" applyBorder="1" applyAlignment="1">
      <alignment horizontal="left" vertical="top" wrapText="1"/>
    </xf>
    <xf numFmtId="165" fontId="2" fillId="34" borderId="19" xfId="45" applyNumberFormat="1" applyFont="1" applyFill="1" applyBorder="1" applyAlignment="1">
      <alignment/>
    </xf>
    <xf numFmtId="165" fontId="2" fillId="0" borderId="19" xfId="45" applyNumberFormat="1" applyFont="1" applyBorder="1" applyAlignment="1">
      <alignment/>
    </xf>
    <xf numFmtId="14" fontId="86" fillId="34" borderId="17" xfId="0" applyNumberFormat="1" applyFont="1" applyFill="1" applyBorder="1" applyAlignment="1">
      <alignment/>
    </xf>
    <xf numFmtId="165" fontId="86" fillId="34" borderId="19" xfId="0" applyNumberFormat="1" applyFont="1" applyFill="1" applyBorder="1" applyAlignment="1">
      <alignment/>
    </xf>
    <xf numFmtId="165" fontId="87" fillId="34" borderId="19" xfId="45" applyNumberFormat="1" applyFont="1" applyFill="1" applyBorder="1" applyAlignment="1">
      <alignment/>
    </xf>
    <xf numFmtId="173" fontId="86" fillId="34" borderId="18" xfId="45" applyNumberFormat="1" applyFont="1" applyFill="1" applyBorder="1" applyAlignment="1">
      <alignment/>
    </xf>
    <xf numFmtId="0" fontId="0" fillId="34" borderId="2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165" fontId="75" fillId="34" borderId="10" xfId="45" applyNumberFormat="1" applyFont="1" applyFill="1" applyBorder="1" applyAlignment="1">
      <alignment horizontal="right" vertical="center"/>
    </xf>
    <xf numFmtId="174" fontId="0" fillId="34" borderId="11" xfId="45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174" fontId="0" fillId="0" borderId="11" xfId="45" applyNumberFormat="1" applyFont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75" fillId="0" borderId="22" xfId="0" applyFont="1" applyBorder="1" applyAlignment="1">
      <alignment horizontal="left" vertical="center"/>
    </xf>
    <xf numFmtId="165" fontId="75" fillId="0" borderId="28" xfId="45" applyNumberFormat="1" applyFont="1" applyBorder="1" applyAlignment="1">
      <alignment horizontal="right" vertical="center"/>
    </xf>
    <xf numFmtId="174" fontId="75" fillId="0" borderId="29" xfId="45" applyNumberFormat="1" applyFont="1" applyBorder="1" applyAlignment="1">
      <alignment vertical="center"/>
    </xf>
    <xf numFmtId="0" fontId="80" fillId="33" borderId="16" xfId="0" applyFont="1" applyFill="1" applyBorder="1" applyAlignment="1">
      <alignment vertical="center"/>
    </xf>
    <xf numFmtId="0" fontId="81" fillId="34" borderId="17" xfId="0" applyFont="1" applyFill="1" applyBorder="1" applyAlignment="1">
      <alignment vertical="center"/>
    </xf>
    <xf numFmtId="0" fontId="81" fillId="0" borderId="17" xfId="0" applyFont="1" applyBorder="1" applyAlignment="1">
      <alignment vertical="center"/>
    </xf>
    <xf numFmtId="165" fontId="0" fillId="34" borderId="18" xfId="45" applyNumberFormat="1" applyFont="1" applyFill="1" applyBorder="1" applyAlignment="1">
      <alignment/>
    </xf>
    <xf numFmtId="165" fontId="0" fillId="0" borderId="18" xfId="45" applyNumberFormat="1" applyFont="1" applyBorder="1" applyAlignment="1">
      <alignment/>
    </xf>
    <xf numFmtId="168" fontId="75" fillId="0" borderId="30" xfId="0" applyNumberFormat="1" applyFont="1" applyBorder="1" applyAlignment="1">
      <alignment/>
    </xf>
    <xf numFmtId="165" fontId="0" fillId="0" borderId="0" xfId="45" applyNumberFormat="1" applyFont="1" applyBorder="1" applyAlignment="1">
      <alignment/>
    </xf>
    <xf numFmtId="165" fontId="0" fillId="0" borderId="31" xfId="45" applyNumberFormat="1" applyFont="1" applyBorder="1" applyAlignment="1">
      <alignment/>
    </xf>
    <xf numFmtId="168" fontId="75" fillId="0" borderId="32" xfId="0" applyNumberFormat="1" applyFont="1" applyBorder="1" applyAlignment="1">
      <alignment/>
    </xf>
    <xf numFmtId="3" fontId="75" fillId="0" borderId="33" xfId="0" applyNumberFormat="1" applyFont="1" applyBorder="1" applyAlignment="1">
      <alignment/>
    </xf>
    <xf numFmtId="1" fontId="75" fillId="0" borderId="33" xfId="0" applyNumberFormat="1" applyFont="1" applyBorder="1" applyAlignment="1">
      <alignment/>
    </xf>
    <xf numFmtId="170" fontId="75" fillId="0" borderId="33" xfId="0" applyNumberFormat="1" applyFont="1" applyBorder="1" applyAlignment="1">
      <alignment/>
    </xf>
    <xf numFmtId="1" fontId="75" fillId="0" borderId="34" xfId="0" applyNumberFormat="1" applyFont="1" applyBorder="1" applyAlignment="1">
      <alignment/>
    </xf>
    <xf numFmtId="0" fontId="76" fillId="33" borderId="16" xfId="0" applyFont="1" applyFill="1" applyBorder="1" applyAlignment="1">
      <alignment vertical="top"/>
    </xf>
    <xf numFmtId="0" fontId="76" fillId="33" borderId="14" xfId="0" applyFont="1" applyFill="1" applyBorder="1" applyAlignment="1">
      <alignment vertical="top"/>
    </xf>
    <xf numFmtId="168" fontId="3" fillId="34" borderId="17" xfId="0" applyNumberFormat="1" applyFont="1" applyFill="1" applyBorder="1" applyAlignment="1">
      <alignment horizontal="center"/>
    </xf>
    <xf numFmtId="168" fontId="3" fillId="0" borderId="17" xfId="0" applyNumberFormat="1" applyFont="1" applyFill="1" applyBorder="1" applyAlignment="1">
      <alignment horizontal="center"/>
    </xf>
    <xf numFmtId="165" fontId="0" fillId="0" borderId="19" xfId="45" applyNumberFormat="1" applyFont="1" applyFill="1" applyBorder="1" applyAlignment="1">
      <alignment/>
    </xf>
    <xf numFmtId="165" fontId="0" fillId="0" borderId="18" xfId="45" applyNumberFormat="1" applyFont="1" applyFill="1" applyBorder="1" applyAlignment="1">
      <alignment/>
    </xf>
    <xf numFmtId="0" fontId="76" fillId="33" borderId="16" xfId="0" applyFont="1" applyFill="1" applyBorder="1" applyAlignment="1">
      <alignment vertical="center"/>
    </xf>
    <xf numFmtId="0" fontId="76" fillId="33" borderId="14" xfId="0" applyFont="1" applyFill="1" applyBorder="1" applyAlignment="1">
      <alignment vertical="center"/>
    </xf>
    <xf numFmtId="0" fontId="76" fillId="33" borderId="13" xfId="0" applyFont="1" applyFill="1" applyBorder="1" applyAlignment="1">
      <alignment vertical="center"/>
    </xf>
    <xf numFmtId="169" fontId="0" fillId="34" borderId="19" xfId="0" applyNumberFormat="1" applyFont="1" applyFill="1" applyBorder="1" applyAlignment="1">
      <alignment vertical="center"/>
    </xf>
    <xf numFmtId="169" fontId="0" fillId="34" borderId="18" xfId="0" applyNumberFormat="1" applyFont="1" applyFill="1" applyBorder="1" applyAlignment="1">
      <alignment vertical="center"/>
    </xf>
    <xf numFmtId="169" fontId="0" fillId="0" borderId="19" xfId="0" applyNumberFormat="1" applyFont="1" applyFill="1" applyBorder="1" applyAlignment="1">
      <alignment vertical="center"/>
    </xf>
    <xf numFmtId="169" fontId="0" fillId="0" borderId="18" xfId="0" applyNumberFormat="1" applyFont="1" applyFill="1" applyBorder="1" applyAlignment="1">
      <alignment vertical="center"/>
    </xf>
    <xf numFmtId="1" fontId="0" fillId="34" borderId="19" xfId="0" applyNumberFormat="1" applyFont="1" applyFill="1" applyBorder="1" applyAlignment="1">
      <alignment/>
    </xf>
    <xf numFmtId="1" fontId="0" fillId="34" borderId="18" xfId="0" applyNumberFormat="1" applyFont="1" applyFill="1" applyBorder="1" applyAlignment="1">
      <alignment/>
    </xf>
    <xf numFmtId="168" fontId="0" fillId="0" borderId="17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84" fillId="0" borderId="17" xfId="0" applyFont="1" applyBorder="1" applyAlignment="1">
      <alignment/>
    </xf>
    <xf numFmtId="0" fontId="75" fillId="0" borderId="17" xfId="0" applyFont="1" applyBorder="1" applyAlignment="1">
      <alignment/>
    </xf>
    <xf numFmtId="17" fontId="75" fillId="34" borderId="17" xfId="0" applyNumberFormat="1" applyFont="1" applyFill="1" applyBorder="1" applyAlignment="1" quotePrefix="1">
      <alignment/>
    </xf>
    <xf numFmtId="0" fontId="84" fillId="34" borderId="19" xfId="0" applyFont="1" applyFill="1" applyBorder="1" applyAlignment="1">
      <alignment/>
    </xf>
    <xf numFmtId="17" fontId="75" fillId="0" borderId="17" xfId="0" applyNumberFormat="1" applyFont="1" applyBorder="1" applyAlignment="1" quotePrefix="1">
      <alignment/>
    </xf>
    <xf numFmtId="0" fontId="75" fillId="0" borderId="0" xfId="0" applyFont="1" applyAlignment="1">
      <alignment/>
    </xf>
    <xf numFmtId="165" fontId="0" fillId="34" borderId="19" xfId="45" applyNumberFormat="1" applyFont="1" applyFill="1" applyBorder="1" applyAlignment="1">
      <alignment/>
    </xf>
    <xf numFmtId="165" fontId="0" fillId="34" borderId="18" xfId="45" applyNumberFormat="1" applyFont="1" applyFill="1" applyBorder="1" applyAlignment="1">
      <alignment/>
    </xf>
    <xf numFmtId="165" fontId="0" fillId="0" borderId="19" xfId="45" applyNumberFormat="1" applyFont="1" applyBorder="1" applyAlignment="1">
      <alignment/>
    </xf>
    <xf numFmtId="165" fontId="0" fillId="0" borderId="18" xfId="45" applyNumberFormat="1" applyFont="1" applyBorder="1" applyAlignment="1">
      <alignment/>
    </xf>
    <xf numFmtId="0" fontId="88" fillId="33" borderId="16" xfId="0" applyFont="1" applyFill="1" applyBorder="1" applyAlignment="1">
      <alignment horizontal="center"/>
    </xf>
    <xf numFmtId="0" fontId="88" fillId="33" borderId="14" xfId="0" applyFont="1" applyFill="1" applyBorder="1" applyAlignment="1">
      <alignment horizontal="center"/>
    </xf>
    <xf numFmtId="0" fontId="88" fillId="33" borderId="13" xfId="0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0" fontId="90" fillId="0" borderId="0" xfId="0" applyFont="1" applyAlignment="1">
      <alignment/>
    </xf>
    <xf numFmtId="0" fontId="0" fillId="0" borderId="0" xfId="0" applyAlignment="1">
      <alignment horizontal="center"/>
    </xf>
    <xf numFmtId="0" fontId="76" fillId="33" borderId="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 vertical="top" wrapText="1"/>
    </xf>
    <xf numFmtId="0" fontId="80" fillId="33" borderId="0" xfId="0" applyFont="1" applyFill="1" applyBorder="1" applyAlignment="1">
      <alignment horizontal="center" vertical="center"/>
    </xf>
    <xf numFmtId="166" fontId="81" fillId="0" borderId="22" xfId="45" applyNumberFormat="1" applyFont="1" applyBorder="1" applyAlignment="1">
      <alignment horizontal="center" vertical="center"/>
    </xf>
    <xf numFmtId="166" fontId="81" fillId="0" borderId="21" xfId="45" applyNumberFormat="1" applyFont="1" applyBorder="1" applyAlignment="1">
      <alignment horizontal="center" vertical="center"/>
    </xf>
    <xf numFmtId="166" fontId="81" fillId="0" borderId="22" xfId="50" applyNumberFormat="1" applyFont="1" applyBorder="1" applyAlignment="1">
      <alignment horizontal="center" vertical="center"/>
    </xf>
    <xf numFmtId="166" fontId="81" fillId="0" borderId="21" xfId="50" applyNumberFormat="1" applyFont="1" applyBorder="1" applyAlignment="1">
      <alignment horizontal="center" vertical="center"/>
    </xf>
    <xf numFmtId="0" fontId="78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chartsheet" Target="chartsheets/sheet10.xml" /><Relationship Id="rId21" Type="http://schemas.openxmlformats.org/officeDocument/2006/relationships/worksheet" Target="worksheets/sheet11.xml" /><Relationship Id="rId22" Type="http://schemas.openxmlformats.org/officeDocument/2006/relationships/worksheet" Target="worksheets/sheet12.xml" /><Relationship Id="rId23" Type="http://schemas.openxmlformats.org/officeDocument/2006/relationships/worksheet" Target="worksheets/sheet13.xml" /><Relationship Id="rId24" Type="http://schemas.openxmlformats.org/officeDocument/2006/relationships/chartsheet" Target="chartsheets/sheet11.xml" /><Relationship Id="rId25" Type="http://schemas.openxmlformats.org/officeDocument/2006/relationships/worksheet" Target="worksheets/sheet14.xml" /><Relationship Id="rId26" Type="http://schemas.openxmlformats.org/officeDocument/2006/relationships/worksheet" Target="worksheets/sheet15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25"/>
          <c:w val="0.99025"/>
          <c:h val="0.9685"/>
        </c:manualLayout>
      </c:layout>
      <c:lineChart>
        <c:grouping val="standard"/>
        <c:varyColors val="0"/>
        <c:ser>
          <c:idx val="1"/>
          <c:order val="0"/>
          <c:tx>
            <c:strRef>
              <c:f>ICF!$B$2</c:f>
              <c:strCache>
                <c:ptCount val="1"/>
                <c:pt idx="0">
                  <c:v>Evolution passée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ICF!$A$3:$A$43</c:f>
              <c:numCache>
                <c:ptCount val="4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  <c:pt idx="37">
                  <c:v>2024</c:v>
                </c:pt>
                <c:pt idx="38">
                  <c:v>2025</c:v>
                </c:pt>
                <c:pt idx="39">
                  <c:v>2026</c:v>
                </c:pt>
                <c:pt idx="40">
                  <c:v>2027</c:v>
                </c:pt>
              </c:numCache>
            </c:numRef>
          </c:cat>
          <c:val>
            <c:numRef>
              <c:f>ICF!$B$3:$B$43</c:f>
              <c:numCache>
                <c:ptCount val="41"/>
                <c:pt idx="0">
                  <c:v>3.57</c:v>
                </c:pt>
                <c:pt idx="1">
                  <c:v>3.69</c:v>
                </c:pt>
                <c:pt idx="2">
                  <c:v>3.42</c:v>
                </c:pt>
                <c:pt idx="3">
                  <c:v>3.4</c:v>
                </c:pt>
                <c:pt idx="4">
                  <c:v>3.22</c:v>
                </c:pt>
                <c:pt idx="5">
                  <c:v>3.11</c:v>
                </c:pt>
                <c:pt idx="6">
                  <c:v>3.06</c:v>
                </c:pt>
                <c:pt idx="7">
                  <c:v>2.92</c:v>
                </c:pt>
                <c:pt idx="8">
                  <c:v>2.76</c:v>
                </c:pt>
                <c:pt idx="9">
                  <c:v>2.69</c:v>
                </c:pt>
                <c:pt idx="10">
                  <c:v>2.57</c:v>
                </c:pt>
                <c:pt idx="11">
                  <c:v>2.47</c:v>
                </c:pt>
                <c:pt idx="12">
                  <c:v>2.58</c:v>
                </c:pt>
                <c:pt idx="13">
                  <c:v>2.58</c:v>
                </c:pt>
                <c:pt idx="14">
                  <c:v>2.51</c:v>
                </c:pt>
                <c:pt idx="15">
                  <c:v>2.42</c:v>
                </c:pt>
                <c:pt idx="16">
                  <c:v>2.24</c:v>
                </c:pt>
                <c:pt idx="17">
                  <c:v>2.19</c:v>
                </c:pt>
                <c:pt idx="18">
                  <c:v>2.17</c:v>
                </c:pt>
                <c:pt idx="19">
                  <c:v>2.21</c:v>
                </c:pt>
                <c:pt idx="20">
                  <c:v>2.11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ICF!$C$2</c:f>
              <c:strCache>
                <c:ptCount val="1"/>
                <c:pt idx="0">
                  <c:v>Hypopthèse</c:v>
                </c:pt>
              </c:strCache>
            </c:strRef>
          </c:tx>
          <c:spPr>
            <a:ln w="381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ICF!$A$3:$A$43</c:f>
              <c:numCache>
                <c:ptCount val="4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  <c:pt idx="37">
                  <c:v>2024</c:v>
                </c:pt>
                <c:pt idx="38">
                  <c:v>2025</c:v>
                </c:pt>
                <c:pt idx="39">
                  <c:v>2026</c:v>
                </c:pt>
                <c:pt idx="40">
                  <c:v>2027</c:v>
                </c:pt>
              </c:numCache>
            </c:numRef>
          </c:cat>
          <c:val>
            <c:numRef>
              <c:f>ICF!$C$3:$C$43</c:f>
              <c:numCache>
                <c:ptCount val="41"/>
                <c:pt idx="20">
                  <c:v>2.11</c:v>
                </c:pt>
                <c:pt idx="21">
                  <c:v>2.1</c:v>
                </c:pt>
                <c:pt idx="22">
                  <c:v>2.09</c:v>
                </c:pt>
                <c:pt idx="23">
                  <c:v>2.08</c:v>
                </c:pt>
                <c:pt idx="24">
                  <c:v>2.07</c:v>
                </c:pt>
                <c:pt idx="25">
                  <c:v>2.06</c:v>
                </c:pt>
                <c:pt idx="26">
                  <c:v>2.05</c:v>
                </c:pt>
                <c:pt idx="27">
                  <c:v>2.04</c:v>
                </c:pt>
                <c:pt idx="28">
                  <c:v>2.03</c:v>
                </c:pt>
                <c:pt idx="29">
                  <c:v>2.02</c:v>
                </c:pt>
                <c:pt idx="30">
                  <c:v>2</c:v>
                </c:pt>
                <c:pt idx="31">
                  <c:v>1.99</c:v>
                </c:pt>
                <c:pt idx="32">
                  <c:v>1.98</c:v>
                </c:pt>
                <c:pt idx="33">
                  <c:v>1.97</c:v>
                </c:pt>
                <c:pt idx="34">
                  <c:v>1.96</c:v>
                </c:pt>
                <c:pt idx="35">
                  <c:v>1.95</c:v>
                </c:pt>
                <c:pt idx="36">
                  <c:v>1.94</c:v>
                </c:pt>
                <c:pt idx="37">
                  <c:v>1.93</c:v>
                </c:pt>
                <c:pt idx="38">
                  <c:v>1.92</c:v>
                </c:pt>
                <c:pt idx="39">
                  <c:v>1.91</c:v>
                </c:pt>
                <c:pt idx="40">
                  <c:v>1.9</c:v>
                </c:pt>
              </c:numCache>
            </c:numRef>
          </c:val>
          <c:smooth val="0"/>
        </c:ser>
        <c:marker val="1"/>
        <c:axId val="29321026"/>
        <c:axId val="62562643"/>
      </c:lineChart>
      <c:catAx>
        <c:axId val="29321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2643"/>
        <c:crosses val="autoZero"/>
        <c:auto val="1"/>
        <c:lblOffset val="100"/>
        <c:tickLblSkip val="5"/>
        <c:noMultiLvlLbl val="0"/>
      </c:catAx>
      <c:valAx>
        <c:axId val="62562643"/>
        <c:scaling>
          <c:orientation val="minMax"/>
          <c:min val="1.5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21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35"/>
          <c:y val="0.05975"/>
          <c:w val="0.2155"/>
          <c:h val="0.1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025"/>
          <c:y val="0.58575"/>
          <c:w val="0.2305"/>
          <c:h val="0.35325"/>
        </c:manualLayout>
      </c:layout>
      <c:pieChart>
        <c:varyColors val="1"/>
        <c:ser>
          <c:idx val="0"/>
          <c:order val="0"/>
          <c:tx>
            <c:strRef>
              <c:f>'[1]D_PYR_NB'!$P$25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'[1]D_PYR_NB'!$L$26:$L$28</c:f>
              <c:strCache>
                <c:ptCount val="3"/>
                <c:pt idx="0">
                  <c:v>0-19 ans</c:v>
                </c:pt>
                <c:pt idx="1">
                  <c:v>20-59 ans</c:v>
                </c:pt>
                <c:pt idx="2">
                  <c:v>60 ans et plus</c:v>
                </c:pt>
              </c:strCache>
            </c:strRef>
          </c:cat>
          <c:val>
            <c:numRef>
              <c:f>'[1]D_PYR_NB'!$P$26:$P$28</c:f>
              <c:numCache>
                <c:ptCount val="3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1"/>
          <c:y val="0.49125"/>
          <c:w val="0.386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9685"/>
          <c:h val="0.942"/>
        </c:manualLayout>
      </c:layout>
      <c:lineChart>
        <c:grouping val="standard"/>
        <c:varyColors val="0"/>
        <c:ser>
          <c:idx val="2"/>
          <c:order val="0"/>
          <c:tx>
            <c:strRef>
              <c:f>dependance_pers_agees!$D$2</c:f>
              <c:strCache>
                <c:ptCount val="1"/>
                <c:pt idx="0">
                  <c:v>Population de 65 ans ou plus / population de 20 à 64 ans (‰)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993300"/>
                        </a:solidFill>
                        <a:latin typeface="Calibri"/>
                        <a:ea typeface="Calibri"/>
                        <a:cs typeface="Calibri"/>
                      </a:rPr>
                      <a:t>Population de 65 ans ou plus / population de 20 à 64 ans (‰)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dependance_pers_agees!$A$3:$A$30</c:f>
              <c:strCache>
                <c:ptCount val="25"/>
                <c:pt idx="0">
                  <c:v>28490</c:v>
                </c:pt>
                <c:pt idx="1">
                  <c:v>32508</c:v>
                </c:pt>
                <c:pt idx="2">
                  <c:v>35430</c:v>
                </c:pt>
                <c:pt idx="3">
                  <c:v>37621</c:v>
                </c:pt>
                <c:pt idx="4">
                  <c:v>39447</c:v>
                </c:pt>
                <c:pt idx="5">
                  <c:v>39813</c:v>
                </c:pt>
                <c:pt idx="6">
                  <c:v>40178</c:v>
                </c:pt>
                <c:pt idx="7">
                  <c:v>40543</c:v>
                </c:pt>
                <c:pt idx="8">
                  <c:v>40908</c:v>
                </c:pt>
                <c:pt idx="9">
                  <c:v>41274</c:v>
                </c:pt>
                <c:pt idx="10">
                  <c:v>41639</c:v>
                </c:pt>
                <c:pt idx="11">
                  <c:v>42004</c:v>
                </c:pt>
                <c:pt idx="12">
                  <c:v>42369</c:v>
                </c:pt>
                <c:pt idx="13">
                  <c:v>42735</c:v>
                </c:pt>
                <c:pt idx="14">
                  <c:v>43100</c:v>
                </c:pt>
                <c:pt idx="15">
                  <c:v>43465</c:v>
                </c:pt>
                <c:pt idx="16">
                  <c:v>43830</c:v>
                </c:pt>
                <c:pt idx="17">
                  <c:v>44196</c:v>
                </c:pt>
                <c:pt idx="18">
                  <c:v>44561</c:v>
                </c:pt>
                <c:pt idx="19">
                  <c:v>44926</c:v>
                </c:pt>
                <c:pt idx="20">
                  <c:v>45291</c:v>
                </c:pt>
                <c:pt idx="21">
                  <c:v>45657</c:v>
                </c:pt>
                <c:pt idx="22">
                  <c:v>46022</c:v>
                </c:pt>
                <c:pt idx="23">
                  <c:v>46387</c:v>
                </c:pt>
                <c:pt idx="24">
                  <c:v>46752</c:v>
                </c:pt>
              </c:strCache>
            </c:strRef>
          </c:cat>
          <c:val>
            <c:numRef>
              <c:f>dependance_pers_agees!$D$3:$D$27</c:f>
              <c:numCache>
                <c:ptCount val="25"/>
                <c:pt idx="0">
                  <c:v>31.94442163351783</c:v>
                </c:pt>
                <c:pt idx="1">
                  <c:v>62.88375589992064</c:v>
                </c:pt>
                <c:pt idx="2">
                  <c:v>71.18911624670066</c:v>
                </c:pt>
                <c:pt idx="3">
                  <c:v>83.2037726117231</c:v>
                </c:pt>
                <c:pt idx="4">
                  <c:v>97.14918533942533</c:v>
                </c:pt>
                <c:pt idx="5">
                  <c:v>99.02654292945681</c:v>
                </c:pt>
                <c:pt idx="6">
                  <c:v>101.02158081535991</c:v>
                </c:pt>
                <c:pt idx="7">
                  <c:v>103.06837670568936</c:v>
                </c:pt>
                <c:pt idx="8">
                  <c:v>105.22823294492945</c:v>
                </c:pt>
                <c:pt idx="9">
                  <c:v>107.56869772998805</c:v>
                </c:pt>
                <c:pt idx="10">
                  <c:v>110.09594494615574</c:v>
                </c:pt>
                <c:pt idx="11">
                  <c:v>112.85492970773214</c:v>
                </c:pt>
                <c:pt idx="12">
                  <c:v>115.99240926161264</c:v>
                </c:pt>
                <c:pt idx="13">
                  <c:v>119.65850421245628</c:v>
                </c:pt>
                <c:pt idx="14">
                  <c:v>123.93269225427618</c:v>
                </c:pt>
                <c:pt idx="15">
                  <c:v>128.88132242297763</c:v>
                </c:pt>
                <c:pt idx="16">
                  <c:v>134.4356538938034</c:v>
                </c:pt>
                <c:pt idx="17">
                  <c:v>140.42960762790295</c:v>
                </c:pt>
                <c:pt idx="18">
                  <c:v>146.6381535442309</c:v>
                </c:pt>
                <c:pt idx="19">
                  <c:v>152.91802654338292</c:v>
                </c:pt>
                <c:pt idx="20">
                  <c:v>159.28743288819777</c:v>
                </c:pt>
                <c:pt idx="21">
                  <c:v>165.69162121963313</c:v>
                </c:pt>
                <c:pt idx="22">
                  <c:v>172.37927278385808</c:v>
                </c:pt>
                <c:pt idx="23">
                  <c:v>179.69209497177883</c:v>
                </c:pt>
                <c:pt idx="24">
                  <c:v>187.83290273204958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dependance_pers_agees!$G$2</c:f>
              <c:strCache>
                <c:ptCount val="1"/>
                <c:pt idx="0">
                  <c:v>Population de 60 ans ou plus / population de 20 à 59 ans (‰)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3366"/>
                        </a:solidFill>
                        <a:latin typeface="Calibri"/>
                        <a:ea typeface="Calibri"/>
                        <a:cs typeface="Calibri"/>
                      </a:rPr>
                      <a:t>Population de 60 ans ou plus / population de 20 à 59 ans (‰)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dependance_pers_agees!$A$3:$A$30</c:f>
              <c:strCache>
                <c:ptCount val="25"/>
                <c:pt idx="0">
                  <c:v>28490</c:v>
                </c:pt>
                <c:pt idx="1">
                  <c:v>32508</c:v>
                </c:pt>
                <c:pt idx="2">
                  <c:v>35430</c:v>
                </c:pt>
                <c:pt idx="3">
                  <c:v>37621</c:v>
                </c:pt>
                <c:pt idx="4">
                  <c:v>39447</c:v>
                </c:pt>
                <c:pt idx="5">
                  <c:v>39813</c:v>
                </c:pt>
                <c:pt idx="6">
                  <c:v>40178</c:v>
                </c:pt>
                <c:pt idx="7">
                  <c:v>40543</c:v>
                </c:pt>
                <c:pt idx="8">
                  <c:v>40908</c:v>
                </c:pt>
                <c:pt idx="9">
                  <c:v>41274</c:v>
                </c:pt>
                <c:pt idx="10">
                  <c:v>41639</c:v>
                </c:pt>
                <c:pt idx="11">
                  <c:v>42004</c:v>
                </c:pt>
                <c:pt idx="12">
                  <c:v>42369</c:v>
                </c:pt>
                <c:pt idx="13">
                  <c:v>42735</c:v>
                </c:pt>
                <c:pt idx="14">
                  <c:v>43100</c:v>
                </c:pt>
                <c:pt idx="15">
                  <c:v>43465</c:v>
                </c:pt>
                <c:pt idx="16">
                  <c:v>43830</c:v>
                </c:pt>
                <c:pt idx="17">
                  <c:v>44196</c:v>
                </c:pt>
                <c:pt idx="18">
                  <c:v>44561</c:v>
                </c:pt>
                <c:pt idx="19">
                  <c:v>44926</c:v>
                </c:pt>
                <c:pt idx="20">
                  <c:v>45291</c:v>
                </c:pt>
                <c:pt idx="21">
                  <c:v>45657</c:v>
                </c:pt>
                <c:pt idx="22">
                  <c:v>46022</c:v>
                </c:pt>
                <c:pt idx="23">
                  <c:v>46387</c:v>
                </c:pt>
                <c:pt idx="24">
                  <c:v>46752</c:v>
                </c:pt>
              </c:strCache>
            </c:strRef>
          </c:cat>
          <c:val>
            <c:numRef>
              <c:f>dependance_pers_agees!$G$3:$G$27</c:f>
              <c:numCache>
                <c:ptCount val="25"/>
                <c:pt idx="0">
                  <c:v>64.43631115005928</c:v>
                </c:pt>
                <c:pt idx="1">
                  <c:v>107.06749907550413</c:v>
                </c:pt>
                <c:pt idx="2">
                  <c:v>121.43263318761772</c:v>
                </c:pt>
                <c:pt idx="3">
                  <c:v>138.1157726044578</c:v>
                </c:pt>
                <c:pt idx="4">
                  <c:v>156.5088529907241</c:v>
                </c:pt>
                <c:pt idx="5">
                  <c:v>159.0434669532068</c:v>
                </c:pt>
                <c:pt idx="6">
                  <c:v>161.71820569162335</c:v>
                </c:pt>
                <c:pt idx="7">
                  <c:v>164.70055637203444</c:v>
                </c:pt>
                <c:pt idx="8">
                  <c:v>168.38392874381367</c:v>
                </c:pt>
                <c:pt idx="9">
                  <c:v>173.00282802209273</c:v>
                </c:pt>
                <c:pt idx="10">
                  <c:v>178.69010879391504</c:v>
                </c:pt>
                <c:pt idx="11">
                  <c:v>185.34846348506585</c:v>
                </c:pt>
                <c:pt idx="12">
                  <c:v>192.6794360364201</c:v>
                </c:pt>
                <c:pt idx="13">
                  <c:v>200.26527597745152</c:v>
                </c:pt>
                <c:pt idx="14">
                  <c:v>207.83981278059034</c:v>
                </c:pt>
                <c:pt idx="15">
                  <c:v>215.27810622901197</c:v>
                </c:pt>
                <c:pt idx="16">
                  <c:v>222.72719286429628</c:v>
                </c:pt>
                <c:pt idx="17">
                  <c:v>230.5383311270582</c:v>
                </c:pt>
                <c:pt idx="18">
                  <c:v>239.16802102424012</c:v>
                </c:pt>
                <c:pt idx="19">
                  <c:v>248.9356215798069</c:v>
                </c:pt>
                <c:pt idx="20">
                  <c:v>260.0783426979124</c:v>
                </c:pt>
                <c:pt idx="21">
                  <c:v>272.16393853444055</c:v>
                </c:pt>
                <c:pt idx="22">
                  <c:v>284.93544737724767</c:v>
                </c:pt>
                <c:pt idx="23">
                  <c:v>298.0199368741343</c:v>
                </c:pt>
                <c:pt idx="24">
                  <c:v>311.12937974827076</c:v>
                </c:pt>
              </c:numCache>
            </c:numRef>
          </c:val>
          <c:smooth val="0"/>
        </c:ser>
        <c:marker val="1"/>
        <c:axId val="41208850"/>
        <c:axId val="35335331"/>
      </c:lineChart>
      <c:dateAx>
        <c:axId val="41208850"/>
        <c:scaling>
          <c:orientation val="minMax"/>
          <c:max val="46388"/>
          <c:min val="2812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5335331"/>
        <c:crosses val="autoZero"/>
        <c:auto val="0"/>
        <c:baseTimeUnit val="years"/>
        <c:majorUnit val="10"/>
        <c:majorTimeUnit val="years"/>
        <c:minorUnit val="1"/>
        <c:minorTimeUnit val="years"/>
        <c:noMultiLvlLbl val="0"/>
      </c:dateAx>
      <c:valAx>
        <c:axId val="35335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088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"/>
          <c:w val="0.9905"/>
          <c:h val="0.97475"/>
        </c:manualLayout>
      </c:layou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Jeunes!$A$3:$A$53</c:f>
              <c:strCache>
                <c:ptCount val="51"/>
                <c:pt idx="0">
                  <c:v>28490</c:v>
                </c:pt>
                <c:pt idx="1">
                  <c:v>28855</c:v>
                </c:pt>
                <c:pt idx="2">
                  <c:v>29220</c:v>
                </c:pt>
                <c:pt idx="3">
                  <c:v>29586</c:v>
                </c:pt>
                <c:pt idx="4">
                  <c:v>29951</c:v>
                </c:pt>
                <c:pt idx="5">
                  <c:v>30316</c:v>
                </c:pt>
                <c:pt idx="6">
                  <c:v>30681</c:v>
                </c:pt>
                <c:pt idx="7">
                  <c:v>31047</c:v>
                </c:pt>
                <c:pt idx="8">
                  <c:v>31412</c:v>
                </c:pt>
                <c:pt idx="9">
                  <c:v>31777</c:v>
                </c:pt>
                <c:pt idx="10">
                  <c:v>32142</c:v>
                </c:pt>
                <c:pt idx="11">
                  <c:v>32508</c:v>
                </c:pt>
                <c:pt idx="12">
                  <c:v>32873</c:v>
                </c:pt>
                <c:pt idx="13">
                  <c:v>33238</c:v>
                </c:pt>
                <c:pt idx="14">
                  <c:v>33603</c:v>
                </c:pt>
                <c:pt idx="15">
                  <c:v>33969</c:v>
                </c:pt>
                <c:pt idx="16">
                  <c:v>34334</c:v>
                </c:pt>
                <c:pt idx="17">
                  <c:v>34699</c:v>
                </c:pt>
                <c:pt idx="18">
                  <c:v>35064</c:v>
                </c:pt>
                <c:pt idx="19">
                  <c:v>35430</c:v>
                </c:pt>
                <c:pt idx="20">
                  <c:v>35795</c:v>
                </c:pt>
                <c:pt idx="21">
                  <c:v>36160</c:v>
                </c:pt>
                <c:pt idx="22">
                  <c:v>36525</c:v>
                </c:pt>
                <c:pt idx="23">
                  <c:v>36891</c:v>
                </c:pt>
                <c:pt idx="24">
                  <c:v>37256</c:v>
                </c:pt>
                <c:pt idx="25">
                  <c:v>37621</c:v>
                </c:pt>
                <c:pt idx="26">
                  <c:v>37986</c:v>
                </c:pt>
                <c:pt idx="27">
                  <c:v>38352</c:v>
                </c:pt>
                <c:pt idx="28">
                  <c:v>38717</c:v>
                </c:pt>
                <c:pt idx="29">
                  <c:v>39082</c:v>
                </c:pt>
                <c:pt idx="30">
                  <c:v>39447</c:v>
                </c:pt>
                <c:pt idx="31">
                  <c:v>39813</c:v>
                </c:pt>
                <c:pt idx="32">
                  <c:v>40178</c:v>
                </c:pt>
                <c:pt idx="33">
                  <c:v>40543</c:v>
                </c:pt>
                <c:pt idx="34">
                  <c:v>40908</c:v>
                </c:pt>
                <c:pt idx="35">
                  <c:v>41274</c:v>
                </c:pt>
                <c:pt idx="36">
                  <c:v>41639</c:v>
                </c:pt>
                <c:pt idx="37">
                  <c:v>42004</c:v>
                </c:pt>
                <c:pt idx="38">
                  <c:v>42369</c:v>
                </c:pt>
                <c:pt idx="39">
                  <c:v>42735</c:v>
                </c:pt>
                <c:pt idx="40">
                  <c:v>43100</c:v>
                </c:pt>
                <c:pt idx="41">
                  <c:v>43465</c:v>
                </c:pt>
                <c:pt idx="42">
                  <c:v>43830</c:v>
                </c:pt>
                <c:pt idx="43">
                  <c:v>44196</c:v>
                </c:pt>
                <c:pt idx="44">
                  <c:v>44561</c:v>
                </c:pt>
                <c:pt idx="45">
                  <c:v>44926</c:v>
                </c:pt>
                <c:pt idx="46">
                  <c:v>45291</c:v>
                </c:pt>
                <c:pt idx="47">
                  <c:v>45657</c:v>
                </c:pt>
                <c:pt idx="48">
                  <c:v>46022</c:v>
                </c:pt>
                <c:pt idx="49">
                  <c:v>46387</c:v>
                </c:pt>
                <c:pt idx="50">
                  <c:v>46752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Jeunes!$C$2</c:f>
              <c:strCache>
                <c:ptCount val="1"/>
                <c:pt idx="0">
                  <c:v>Personnes âgées de 0 à 19 ans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Jeunes!$A$3:$A$53</c:f>
              <c:strCache>
                <c:ptCount val="51"/>
                <c:pt idx="0">
                  <c:v>28490</c:v>
                </c:pt>
                <c:pt idx="1">
                  <c:v>28855</c:v>
                </c:pt>
                <c:pt idx="2">
                  <c:v>29220</c:v>
                </c:pt>
                <c:pt idx="3">
                  <c:v>29586</c:v>
                </c:pt>
                <c:pt idx="4">
                  <c:v>29951</c:v>
                </c:pt>
                <c:pt idx="5">
                  <c:v>30316</c:v>
                </c:pt>
                <c:pt idx="6">
                  <c:v>30681</c:v>
                </c:pt>
                <c:pt idx="7">
                  <c:v>31047</c:v>
                </c:pt>
                <c:pt idx="8">
                  <c:v>31412</c:v>
                </c:pt>
                <c:pt idx="9">
                  <c:v>31777</c:v>
                </c:pt>
                <c:pt idx="10">
                  <c:v>32142</c:v>
                </c:pt>
                <c:pt idx="11">
                  <c:v>32508</c:v>
                </c:pt>
                <c:pt idx="12">
                  <c:v>32873</c:v>
                </c:pt>
                <c:pt idx="13">
                  <c:v>33238</c:v>
                </c:pt>
                <c:pt idx="14">
                  <c:v>33603</c:v>
                </c:pt>
                <c:pt idx="15">
                  <c:v>33969</c:v>
                </c:pt>
                <c:pt idx="16">
                  <c:v>34334</c:v>
                </c:pt>
                <c:pt idx="17">
                  <c:v>34699</c:v>
                </c:pt>
                <c:pt idx="18">
                  <c:v>35064</c:v>
                </c:pt>
                <c:pt idx="19">
                  <c:v>35430</c:v>
                </c:pt>
                <c:pt idx="20">
                  <c:v>35795</c:v>
                </c:pt>
                <c:pt idx="21">
                  <c:v>36160</c:v>
                </c:pt>
                <c:pt idx="22">
                  <c:v>36525</c:v>
                </c:pt>
                <c:pt idx="23">
                  <c:v>36891</c:v>
                </c:pt>
                <c:pt idx="24">
                  <c:v>37256</c:v>
                </c:pt>
                <c:pt idx="25">
                  <c:v>37621</c:v>
                </c:pt>
                <c:pt idx="26">
                  <c:v>37986</c:v>
                </c:pt>
                <c:pt idx="27">
                  <c:v>38352</c:v>
                </c:pt>
                <c:pt idx="28">
                  <c:v>38717</c:v>
                </c:pt>
                <c:pt idx="29">
                  <c:v>39082</c:v>
                </c:pt>
                <c:pt idx="30">
                  <c:v>39447</c:v>
                </c:pt>
                <c:pt idx="31">
                  <c:v>39813</c:v>
                </c:pt>
                <c:pt idx="32">
                  <c:v>40178</c:v>
                </c:pt>
                <c:pt idx="33">
                  <c:v>40543</c:v>
                </c:pt>
                <c:pt idx="34">
                  <c:v>40908</c:v>
                </c:pt>
                <c:pt idx="35">
                  <c:v>41274</c:v>
                </c:pt>
                <c:pt idx="36">
                  <c:v>41639</c:v>
                </c:pt>
                <c:pt idx="37">
                  <c:v>42004</c:v>
                </c:pt>
                <c:pt idx="38">
                  <c:v>42369</c:v>
                </c:pt>
                <c:pt idx="39">
                  <c:v>42735</c:v>
                </c:pt>
                <c:pt idx="40">
                  <c:v>43100</c:v>
                </c:pt>
                <c:pt idx="41">
                  <c:v>43465</c:v>
                </c:pt>
                <c:pt idx="42">
                  <c:v>43830</c:v>
                </c:pt>
                <c:pt idx="43">
                  <c:v>44196</c:v>
                </c:pt>
                <c:pt idx="44">
                  <c:v>44561</c:v>
                </c:pt>
                <c:pt idx="45">
                  <c:v>44926</c:v>
                </c:pt>
                <c:pt idx="46">
                  <c:v>45291</c:v>
                </c:pt>
                <c:pt idx="47">
                  <c:v>45657</c:v>
                </c:pt>
                <c:pt idx="48">
                  <c:v>46022</c:v>
                </c:pt>
                <c:pt idx="49">
                  <c:v>46387</c:v>
                </c:pt>
                <c:pt idx="50">
                  <c:v>46752</c:v>
                </c:pt>
              </c:strCache>
            </c:strRef>
          </c:cat>
          <c:val>
            <c:numRef>
              <c:f>Jeunes!$C$3:$C$53</c:f>
              <c:numCache>
                <c:ptCount val="51"/>
                <c:pt idx="0">
                  <c:v>72765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87028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93306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97823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95291</c:v>
                </c:pt>
                <c:pt idx="31">
                  <c:v>94536</c:v>
                </c:pt>
                <c:pt idx="32">
                  <c:v>93656</c:v>
                </c:pt>
                <c:pt idx="33">
                  <c:v>92740</c:v>
                </c:pt>
                <c:pt idx="34">
                  <c:v>91908</c:v>
                </c:pt>
                <c:pt idx="35">
                  <c:v>91243</c:v>
                </c:pt>
                <c:pt idx="36">
                  <c:v>90782</c:v>
                </c:pt>
                <c:pt idx="37">
                  <c:v>90502</c:v>
                </c:pt>
                <c:pt idx="38">
                  <c:v>90350</c:v>
                </c:pt>
                <c:pt idx="39">
                  <c:v>90243</c:v>
                </c:pt>
                <c:pt idx="40">
                  <c:v>90097</c:v>
                </c:pt>
                <c:pt idx="41">
                  <c:v>89914</c:v>
                </c:pt>
                <c:pt idx="42">
                  <c:v>89710</c:v>
                </c:pt>
                <c:pt idx="43">
                  <c:v>89518</c:v>
                </c:pt>
                <c:pt idx="44">
                  <c:v>89372</c:v>
                </c:pt>
                <c:pt idx="45">
                  <c:v>89296</c:v>
                </c:pt>
                <c:pt idx="46">
                  <c:v>89385</c:v>
                </c:pt>
                <c:pt idx="47">
                  <c:v>89436</c:v>
                </c:pt>
                <c:pt idx="48">
                  <c:v>89447</c:v>
                </c:pt>
                <c:pt idx="49">
                  <c:v>89417</c:v>
                </c:pt>
                <c:pt idx="50">
                  <c:v>89345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Jeunes!$D$2</c:f>
              <c:strCache>
                <c:ptCount val="1"/>
                <c:pt idx="0">
                  <c:v>Femmes âgées de 15-49 ans</c:v>
                </c:pt>
              </c:strCache>
            </c:strRef>
          </c:tx>
          <c:spPr>
            <a:ln w="381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Jeunes!$A$3:$A$53</c:f>
              <c:strCache>
                <c:ptCount val="51"/>
                <c:pt idx="0">
                  <c:v>28490</c:v>
                </c:pt>
                <c:pt idx="1">
                  <c:v>28855</c:v>
                </c:pt>
                <c:pt idx="2">
                  <c:v>29220</c:v>
                </c:pt>
                <c:pt idx="3">
                  <c:v>29586</c:v>
                </c:pt>
                <c:pt idx="4">
                  <c:v>29951</c:v>
                </c:pt>
                <c:pt idx="5">
                  <c:v>30316</c:v>
                </c:pt>
                <c:pt idx="6">
                  <c:v>30681</c:v>
                </c:pt>
                <c:pt idx="7">
                  <c:v>31047</c:v>
                </c:pt>
                <c:pt idx="8">
                  <c:v>31412</c:v>
                </c:pt>
                <c:pt idx="9">
                  <c:v>31777</c:v>
                </c:pt>
                <c:pt idx="10">
                  <c:v>32142</c:v>
                </c:pt>
                <c:pt idx="11">
                  <c:v>32508</c:v>
                </c:pt>
                <c:pt idx="12">
                  <c:v>32873</c:v>
                </c:pt>
                <c:pt idx="13">
                  <c:v>33238</c:v>
                </c:pt>
                <c:pt idx="14">
                  <c:v>33603</c:v>
                </c:pt>
                <c:pt idx="15">
                  <c:v>33969</c:v>
                </c:pt>
                <c:pt idx="16">
                  <c:v>34334</c:v>
                </c:pt>
                <c:pt idx="17">
                  <c:v>34699</c:v>
                </c:pt>
                <c:pt idx="18">
                  <c:v>35064</c:v>
                </c:pt>
                <c:pt idx="19">
                  <c:v>35430</c:v>
                </c:pt>
                <c:pt idx="20">
                  <c:v>35795</c:v>
                </c:pt>
                <c:pt idx="21">
                  <c:v>36160</c:v>
                </c:pt>
                <c:pt idx="22">
                  <c:v>36525</c:v>
                </c:pt>
                <c:pt idx="23">
                  <c:v>36891</c:v>
                </c:pt>
                <c:pt idx="24">
                  <c:v>37256</c:v>
                </c:pt>
                <c:pt idx="25">
                  <c:v>37621</c:v>
                </c:pt>
                <c:pt idx="26">
                  <c:v>37986</c:v>
                </c:pt>
                <c:pt idx="27">
                  <c:v>38352</c:v>
                </c:pt>
                <c:pt idx="28">
                  <c:v>38717</c:v>
                </c:pt>
                <c:pt idx="29">
                  <c:v>39082</c:v>
                </c:pt>
                <c:pt idx="30">
                  <c:v>39447</c:v>
                </c:pt>
                <c:pt idx="31">
                  <c:v>39813</c:v>
                </c:pt>
                <c:pt idx="32">
                  <c:v>40178</c:v>
                </c:pt>
                <c:pt idx="33">
                  <c:v>40543</c:v>
                </c:pt>
                <c:pt idx="34">
                  <c:v>40908</c:v>
                </c:pt>
                <c:pt idx="35">
                  <c:v>41274</c:v>
                </c:pt>
                <c:pt idx="36">
                  <c:v>41639</c:v>
                </c:pt>
                <c:pt idx="37">
                  <c:v>42004</c:v>
                </c:pt>
                <c:pt idx="38">
                  <c:v>42369</c:v>
                </c:pt>
                <c:pt idx="39">
                  <c:v>42735</c:v>
                </c:pt>
                <c:pt idx="40">
                  <c:v>43100</c:v>
                </c:pt>
                <c:pt idx="41">
                  <c:v>43465</c:v>
                </c:pt>
                <c:pt idx="42">
                  <c:v>43830</c:v>
                </c:pt>
                <c:pt idx="43">
                  <c:v>44196</c:v>
                </c:pt>
                <c:pt idx="44">
                  <c:v>44561</c:v>
                </c:pt>
                <c:pt idx="45">
                  <c:v>44926</c:v>
                </c:pt>
                <c:pt idx="46">
                  <c:v>45291</c:v>
                </c:pt>
                <c:pt idx="47">
                  <c:v>45657</c:v>
                </c:pt>
                <c:pt idx="48">
                  <c:v>46022</c:v>
                </c:pt>
                <c:pt idx="49">
                  <c:v>46387</c:v>
                </c:pt>
                <c:pt idx="50">
                  <c:v>46752</c:v>
                </c:pt>
              </c:strCache>
            </c:strRef>
          </c:cat>
          <c:val>
            <c:numRef>
              <c:f>Jeunes!$D$3:$D$53</c:f>
              <c:numCache>
                <c:ptCount val="51"/>
                <c:pt idx="0">
                  <c:v>23545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37610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46428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53537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58351</c:v>
                </c:pt>
                <c:pt idx="31">
                  <c:v>59401</c:v>
                </c:pt>
                <c:pt idx="32">
                  <c:v>60473</c:v>
                </c:pt>
                <c:pt idx="33">
                  <c:v>61510</c:v>
                </c:pt>
                <c:pt idx="34">
                  <c:v>62439</c:v>
                </c:pt>
                <c:pt idx="35">
                  <c:v>63208</c:v>
                </c:pt>
                <c:pt idx="36">
                  <c:v>63793</c:v>
                </c:pt>
                <c:pt idx="37">
                  <c:v>64213</c:v>
                </c:pt>
                <c:pt idx="38">
                  <c:v>64516</c:v>
                </c:pt>
                <c:pt idx="39">
                  <c:v>64769</c:v>
                </c:pt>
                <c:pt idx="40">
                  <c:v>65024</c:v>
                </c:pt>
                <c:pt idx="41">
                  <c:v>65296</c:v>
                </c:pt>
                <c:pt idx="42">
                  <c:v>65575</c:v>
                </c:pt>
                <c:pt idx="43">
                  <c:v>65845</c:v>
                </c:pt>
                <c:pt idx="44">
                  <c:v>66087</c:v>
                </c:pt>
                <c:pt idx="45">
                  <c:v>66287</c:v>
                </c:pt>
                <c:pt idx="46">
                  <c:v>66364</c:v>
                </c:pt>
                <c:pt idx="47">
                  <c:v>66446</c:v>
                </c:pt>
                <c:pt idx="48">
                  <c:v>66549</c:v>
                </c:pt>
                <c:pt idx="49">
                  <c:v>66694</c:v>
                </c:pt>
                <c:pt idx="50">
                  <c:v>66893</c:v>
                </c:pt>
              </c:numCache>
            </c:numRef>
          </c:val>
          <c:smooth val="0"/>
        </c:ser>
        <c:marker val="1"/>
        <c:axId val="49582524"/>
        <c:axId val="43589533"/>
      </c:lineChart>
      <c:lineChart>
        <c:grouping val="standard"/>
        <c:varyColors val="0"/>
        <c:ser>
          <c:idx val="0"/>
          <c:order val="0"/>
          <c:tx>
            <c:strRef>
              <c:f>Jeunes!$B$2</c:f>
              <c:strCache>
                <c:ptCount val="1"/>
                <c:pt idx="0">
                  <c:v>Naissances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Jeunes!$A$3:$A$53</c:f>
              <c:strCache>
                <c:ptCount val="51"/>
                <c:pt idx="0">
                  <c:v>28490</c:v>
                </c:pt>
                <c:pt idx="1">
                  <c:v>28855</c:v>
                </c:pt>
                <c:pt idx="2">
                  <c:v>29220</c:v>
                </c:pt>
                <c:pt idx="3">
                  <c:v>29586</c:v>
                </c:pt>
                <c:pt idx="4">
                  <c:v>29951</c:v>
                </c:pt>
                <c:pt idx="5">
                  <c:v>30316</c:v>
                </c:pt>
                <c:pt idx="6">
                  <c:v>30681</c:v>
                </c:pt>
                <c:pt idx="7">
                  <c:v>31047</c:v>
                </c:pt>
                <c:pt idx="8">
                  <c:v>31412</c:v>
                </c:pt>
                <c:pt idx="9">
                  <c:v>31777</c:v>
                </c:pt>
                <c:pt idx="10">
                  <c:v>32142</c:v>
                </c:pt>
                <c:pt idx="11">
                  <c:v>32508</c:v>
                </c:pt>
                <c:pt idx="12">
                  <c:v>32873</c:v>
                </c:pt>
                <c:pt idx="13">
                  <c:v>33238</c:v>
                </c:pt>
                <c:pt idx="14">
                  <c:v>33603</c:v>
                </c:pt>
                <c:pt idx="15">
                  <c:v>33969</c:v>
                </c:pt>
                <c:pt idx="16">
                  <c:v>34334</c:v>
                </c:pt>
                <c:pt idx="17">
                  <c:v>34699</c:v>
                </c:pt>
                <c:pt idx="18">
                  <c:v>35064</c:v>
                </c:pt>
                <c:pt idx="19">
                  <c:v>35430</c:v>
                </c:pt>
                <c:pt idx="20">
                  <c:v>35795</c:v>
                </c:pt>
                <c:pt idx="21">
                  <c:v>36160</c:v>
                </c:pt>
                <c:pt idx="22">
                  <c:v>36525</c:v>
                </c:pt>
                <c:pt idx="23">
                  <c:v>36891</c:v>
                </c:pt>
                <c:pt idx="24">
                  <c:v>37256</c:v>
                </c:pt>
                <c:pt idx="25">
                  <c:v>37621</c:v>
                </c:pt>
                <c:pt idx="26">
                  <c:v>37986</c:v>
                </c:pt>
                <c:pt idx="27">
                  <c:v>38352</c:v>
                </c:pt>
                <c:pt idx="28">
                  <c:v>38717</c:v>
                </c:pt>
                <c:pt idx="29">
                  <c:v>39082</c:v>
                </c:pt>
                <c:pt idx="30">
                  <c:v>39447</c:v>
                </c:pt>
                <c:pt idx="31">
                  <c:v>39813</c:v>
                </c:pt>
                <c:pt idx="32">
                  <c:v>40178</c:v>
                </c:pt>
                <c:pt idx="33">
                  <c:v>40543</c:v>
                </c:pt>
                <c:pt idx="34">
                  <c:v>40908</c:v>
                </c:pt>
                <c:pt idx="35">
                  <c:v>41274</c:v>
                </c:pt>
                <c:pt idx="36">
                  <c:v>41639</c:v>
                </c:pt>
                <c:pt idx="37">
                  <c:v>42004</c:v>
                </c:pt>
                <c:pt idx="38">
                  <c:v>42369</c:v>
                </c:pt>
                <c:pt idx="39">
                  <c:v>42735</c:v>
                </c:pt>
                <c:pt idx="40">
                  <c:v>43100</c:v>
                </c:pt>
                <c:pt idx="41">
                  <c:v>43465</c:v>
                </c:pt>
                <c:pt idx="42">
                  <c:v>43830</c:v>
                </c:pt>
                <c:pt idx="43">
                  <c:v>44196</c:v>
                </c:pt>
                <c:pt idx="44">
                  <c:v>44561</c:v>
                </c:pt>
                <c:pt idx="45">
                  <c:v>44926</c:v>
                </c:pt>
                <c:pt idx="46">
                  <c:v>45291</c:v>
                </c:pt>
                <c:pt idx="47">
                  <c:v>45657</c:v>
                </c:pt>
                <c:pt idx="48">
                  <c:v>46022</c:v>
                </c:pt>
                <c:pt idx="49">
                  <c:v>46387</c:v>
                </c:pt>
                <c:pt idx="50">
                  <c:v>46752</c:v>
                </c:pt>
              </c:strCache>
            </c:strRef>
          </c:cat>
          <c:val>
            <c:numRef>
              <c:f>Jeunes!$B$3:$B$53</c:f>
              <c:numCache>
                <c:ptCount val="51"/>
                <c:pt idx="0">
                  <c:v>4393</c:v>
                </c:pt>
                <c:pt idx="1">
                  <c:v>4272</c:v>
                </c:pt>
                <c:pt idx="2">
                  <c:v>4331</c:v>
                </c:pt>
                <c:pt idx="3">
                  <c:v>4544</c:v>
                </c:pt>
                <c:pt idx="4">
                  <c:v>4771</c:v>
                </c:pt>
                <c:pt idx="5">
                  <c:v>4818</c:v>
                </c:pt>
                <c:pt idx="6">
                  <c:v>5008</c:v>
                </c:pt>
                <c:pt idx="7">
                  <c:v>5205</c:v>
                </c:pt>
                <c:pt idx="8">
                  <c:v>5419</c:v>
                </c:pt>
                <c:pt idx="9">
                  <c:v>5411</c:v>
                </c:pt>
                <c:pt idx="10">
                  <c:v>5411</c:v>
                </c:pt>
                <c:pt idx="11">
                  <c:v>5800</c:v>
                </c:pt>
                <c:pt idx="12">
                  <c:v>5508</c:v>
                </c:pt>
                <c:pt idx="13">
                  <c:v>5570</c:v>
                </c:pt>
                <c:pt idx="14">
                  <c:v>5401</c:v>
                </c:pt>
                <c:pt idx="15">
                  <c:v>5310</c:v>
                </c:pt>
                <c:pt idx="16">
                  <c:v>5299</c:v>
                </c:pt>
                <c:pt idx="17">
                  <c:v>5110</c:v>
                </c:pt>
                <c:pt idx="18">
                  <c:v>4904</c:v>
                </c:pt>
                <c:pt idx="19">
                  <c:v>4848</c:v>
                </c:pt>
                <c:pt idx="20">
                  <c:v>4712</c:v>
                </c:pt>
                <c:pt idx="21">
                  <c:v>4569</c:v>
                </c:pt>
                <c:pt idx="22">
                  <c:v>4794</c:v>
                </c:pt>
                <c:pt idx="23">
                  <c:v>4933</c:v>
                </c:pt>
                <c:pt idx="24">
                  <c:v>4874</c:v>
                </c:pt>
                <c:pt idx="25">
                  <c:v>4763</c:v>
                </c:pt>
                <c:pt idx="26">
                  <c:v>4501</c:v>
                </c:pt>
                <c:pt idx="27">
                  <c:v>4431</c:v>
                </c:pt>
                <c:pt idx="28">
                  <c:v>4467</c:v>
                </c:pt>
                <c:pt idx="29">
                  <c:v>4592</c:v>
                </c:pt>
                <c:pt idx="30">
                  <c:v>4432</c:v>
                </c:pt>
                <c:pt idx="31">
                  <c:v>4492</c:v>
                </c:pt>
                <c:pt idx="32">
                  <c:v>4523</c:v>
                </c:pt>
                <c:pt idx="33">
                  <c:v>4550</c:v>
                </c:pt>
                <c:pt idx="34">
                  <c:v>4574</c:v>
                </c:pt>
                <c:pt idx="35">
                  <c:v>4594</c:v>
                </c:pt>
                <c:pt idx="36">
                  <c:v>4609</c:v>
                </c:pt>
                <c:pt idx="37">
                  <c:v>4618</c:v>
                </c:pt>
                <c:pt idx="38">
                  <c:v>4623</c:v>
                </c:pt>
                <c:pt idx="39">
                  <c:v>4624</c:v>
                </c:pt>
                <c:pt idx="40">
                  <c:v>4597</c:v>
                </c:pt>
                <c:pt idx="41">
                  <c:v>4586</c:v>
                </c:pt>
                <c:pt idx="42">
                  <c:v>4572</c:v>
                </c:pt>
                <c:pt idx="43">
                  <c:v>4555</c:v>
                </c:pt>
                <c:pt idx="44">
                  <c:v>4532</c:v>
                </c:pt>
                <c:pt idx="45">
                  <c:v>4503</c:v>
                </c:pt>
                <c:pt idx="46">
                  <c:v>4466</c:v>
                </c:pt>
                <c:pt idx="47">
                  <c:v>4426</c:v>
                </c:pt>
                <c:pt idx="48">
                  <c:v>4383</c:v>
                </c:pt>
                <c:pt idx="49">
                  <c:v>4340</c:v>
                </c:pt>
                <c:pt idx="50">
                  <c:v>4296</c:v>
                </c:pt>
              </c:numCache>
            </c:numRef>
          </c:val>
          <c:smooth val="0"/>
        </c:ser>
        <c:marker val="1"/>
        <c:axId val="56761478"/>
        <c:axId val="41091255"/>
      </c:lineChart>
      <c:dateAx>
        <c:axId val="49582524"/>
        <c:scaling>
          <c:orientation val="minMax"/>
          <c:max val="46388"/>
          <c:min val="28126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3589533"/>
        <c:crosses val="autoZero"/>
        <c:auto val="0"/>
        <c:baseTimeUnit val="years"/>
        <c:majorUnit val="10"/>
        <c:majorTimeUnit val="years"/>
        <c:minorUnit val="1"/>
        <c:minorTimeUnit val="years"/>
        <c:noMultiLvlLbl val="0"/>
      </c:dateAx>
      <c:valAx>
        <c:axId val="43589533"/>
        <c:scaling>
          <c:orientation val="minMax"/>
          <c:max val="100000"/>
          <c:min val="2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333300"/>
                </a:solidFill>
                <a:latin typeface="Calibri"/>
                <a:ea typeface="Calibri"/>
                <a:cs typeface="Calibri"/>
              </a:defRPr>
            </a:pPr>
          </a:p>
        </c:txPr>
        <c:crossAx val="49582524"/>
        <c:crossesAt val="1"/>
        <c:crossBetween val="between"/>
        <c:dispUnits/>
      </c:valAx>
      <c:dateAx>
        <c:axId val="56761478"/>
        <c:scaling>
          <c:orientation val="minMax"/>
        </c:scaling>
        <c:axPos val="b"/>
        <c:delete val="1"/>
        <c:majorTickMark val="out"/>
        <c:minorTickMark val="none"/>
        <c:tickLblPos val="nextTo"/>
        <c:crossAx val="41091255"/>
        <c:crosses val="autoZero"/>
        <c:auto val="0"/>
        <c:baseTimeUnit val="years"/>
        <c:majorUnit val="1"/>
        <c:majorTimeUnit val="days"/>
        <c:minorUnit val="1"/>
        <c:minorTimeUnit val="days"/>
        <c:noMultiLvlLbl val="0"/>
      </c:dateAx>
      <c:valAx>
        <c:axId val="41091255"/>
        <c:scaling>
          <c:orientation val="minMax"/>
          <c:max val="7000"/>
          <c:min val="3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614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les taux d'activité en 2007 servent d'hypothèse
</a:t>
            </a:r>
            <a:r>
              <a:rPr lang="en-US" cap="none" sz="168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pour ceux de 2027 </a:t>
            </a:r>
          </a:p>
        </c:rich>
      </c:tx>
      <c:layout>
        <c:manualLayout>
          <c:xMode val="factor"/>
          <c:yMode val="factor"/>
          <c:x val="-0.14875"/>
          <c:y val="-0.004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.00525"/>
          <c:w val="0.9905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tx_actvite!$B$2</c:f>
              <c:strCache>
                <c:ptCount val="1"/>
                <c:pt idx="0">
                  <c:v>Homme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tx_actvite!$A$6:$A$19</c:f>
              <c:strCache>
                <c:ptCount val="14"/>
                <c:pt idx="0">
                  <c:v>15-19 ans</c:v>
                </c:pt>
                <c:pt idx="1">
                  <c:v>20-24 ans</c:v>
                </c:pt>
                <c:pt idx="2">
                  <c:v>25-29 ans</c:v>
                </c:pt>
                <c:pt idx="3">
                  <c:v>30-34 ans</c:v>
                </c:pt>
                <c:pt idx="4">
                  <c:v>35-39 ans</c:v>
                </c:pt>
                <c:pt idx="5">
                  <c:v>40-44 ans</c:v>
                </c:pt>
                <c:pt idx="6">
                  <c:v>45-49 ans</c:v>
                </c:pt>
                <c:pt idx="7">
                  <c:v>50-54 ans</c:v>
                </c:pt>
                <c:pt idx="8">
                  <c:v>55-59 ans</c:v>
                </c:pt>
                <c:pt idx="9">
                  <c:v>60-64 ans</c:v>
                </c:pt>
                <c:pt idx="10">
                  <c:v>65-69 ans</c:v>
                </c:pt>
                <c:pt idx="11">
                  <c:v>70-74 ans</c:v>
                </c:pt>
                <c:pt idx="12">
                  <c:v>75-79 ans</c:v>
                </c:pt>
                <c:pt idx="13">
                  <c:v>80 ans et plus</c:v>
                </c:pt>
              </c:strCache>
            </c:strRef>
          </c:cat>
          <c:val>
            <c:numRef>
              <c:f>tx_actvite!$B$6:$B$19</c:f>
              <c:numCache>
                <c:ptCount val="14"/>
                <c:pt idx="0">
                  <c:v>18.952934167411378</c:v>
                </c:pt>
                <c:pt idx="1">
                  <c:v>72.02040636819422</c:v>
                </c:pt>
                <c:pt idx="2">
                  <c:v>85.32852407876778</c:v>
                </c:pt>
                <c:pt idx="3">
                  <c:v>87.72970345162858</c:v>
                </c:pt>
                <c:pt idx="4">
                  <c:v>87.53703703703704</c:v>
                </c:pt>
                <c:pt idx="5">
                  <c:v>87.27096461463888</c:v>
                </c:pt>
                <c:pt idx="6">
                  <c:v>85.56762564163782</c:v>
                </c:pt>
                <c:pt idx="7">
                  <c:v>72.866490324377</c:v>
                </c:pt>
                <c:pt idx="8">
                  <c:v>52.473704713673555</c:v>
                </c:pt>
                <c:pt idx="9">
                  <c:v>25</c:v>
                </c:pt>
                <c:pt idx="10">
                  <c:v>12.040682414698162</c:v>
                </c:pt>
                <c:pt idx="11">
                  <c:v>6.951620479098168</c:v>
                </c:pt>
                <c:pt idx="12">
                  <c:v>5.739692805173808</c:v>
                </c:pt>
                <c:pt idx="13">
                  <c:v>1.8450184501845017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tx_actvite!$C$2</c:f>
              <c:strCache>
                <c:ptCount val="1"/>
                <c:pt idx="0">
                  <c:v>Femme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tx_actvite!$A$6:$A$19</c:f>
              <c:strCache>
                <c:ptCount val="14"/>
                <c:pt idx="0">
                  <c:v>15-19 ans</c:v>
                </c:pt>
                <c:pt idx="1">
                  <c:v>20-24 ans</c:v>
                </c:pt>
                <c:pt idx="2">
                  <c:v>25-29 ans</c:v>
                </c:pt>
                <c:pt idx="3">
                  <c:v>30-34 ans</c:v>
                </c:pt>
                <c:pt idx="4">
                  <c:v>35-39 ans</c:v>
                </c:pt>
                <c:pt idx="5">
                  <c:v>40-44 ans</c:v>
                </c:pt>
                <c:pt idx="6">
                  <c:v>45-49 ans</c:v>
                </c:pt>
                <c:pt idx="7">
                  <c:v>50-54 ans</c:v>
                </c:pt>
                <c:pt idx="8">
                  <c:v>55-59 ans</c:v>
                </c:pt>
                <c:pt idx="9">
                  <c:v>60-64 ans</c:v>
                </c:pt>
                <c:pt idx="10">
                  <c:v>65-69 ans</c:v>
                </c:pt>
                <c:pt idx="11">
                  <c:v>70-74 ans</c:v>
                </c:pt>
                <c:pt idx="12">
                  <c:v>75-79 ans</c:v>
                </c:pt>
                <c:pt idx="13">
                  <c:v>80 ans et plus</c:v>
                </c:pt>
              </c:strCache>
            </c:strRef>
          </c:cat>
          <c:val>
            <c:numRef>
              <c:f>tx_actvite!$C$6:$C$19</c:f>
              <c:numCache>
                <c:ptCount val="14"/>
                <c:pt idx="0">
                  <c:v>9.903324687573685</c:v>
                </c:pt>
                <c:pt idx="1">
                  <c:v>53.51245202177988</c:v>
                </c:pt>
                <c:pt idx="2">
                  <c:v>68.1386751923269</c:v>
                </c:pt>
                <c:pt idx="3">
                  <c:v>68.97078285656113</c:v>
                </c:pt>
                <c:pt idx="4">
                  <c:v>66.94664031620553</c:v>
                </c:pt>
                <c:pt idx="5">
                  <c:v>65.43364681295716</c:v>
                </c:pt>
                <c:pt idx="6">
                  <c:v>60.4635935044526</c:v>
                </c:pt>
                <c:pt idx="7">
                  <c:v>50.938461538461546</c:v>
                </c:pt>
                <c:pt idx="8">
                  <c:v>33.284580025073126</c:v>
                </c:pt>
                <c:pt idx="9">
                  <c:v>14.887940234791888</c:v>
                </c:pt>
                <c:pt idx="10">
                  <c:v>6.380753138075314</c:v>
                </c:pt>
                <c:pt idx="11">
                  <c:v>2.8557829604950022</c:v>
                </c:pt>
                <c:pt idx="12">
                  <c:v>1.8142235123367199</c:v>
                </c:pt>
                <c:pt idx="13">
                  <c:v>0.9501187648456058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tx_actvite!$D$2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tx_actvite!$A$6:$A$19</c:f>
              <c:strCache>
                <c:ptCount val="14"/>
                <c:pt idx="0">
                  <c:v>15-19 ans</c:v>
                </c:pt>
                <c:pt idx="1">
                  <c:v>20-24 ans</c:v>
                </c:pt>
                <c:pt idx="2">
                  <c:v>25-29 ans</c:v>
                </c:pt>
                <c:pt idx="3">
                  <c:v>30-34 ans</c:v>
                </c:pt>
                <c:pt idx="4">
                  <c:v>35-39 ans</c:v>
                </c:pt>
                <c:pt idx="5">
                  <c:v>40-44 ans</c:v>
                </c:pt>
                <c:pt idx="6">
                  <c:v>45-49 ans</c:v>
                </c:pt>
                <c:pt idx="7">
                  <c:v>50-54 ans</c:v>
                </c:pt>
                <c:pt idx="8">
                  <c:v>55-59 ans</c:v>
                </c:pt>
                <c:pt idx="9">
                  <c:v>60-64 ans</c:v>
                </c:pt>
                <c:pt idx="10">
                  <c:v>65-69 ans</c:v>
                </c:pt>
                <c:pt idx="11">
                  <c:v>70-74 ans</c:v>
                </c:pt>
                <c:pt idx="12">
                  <c:v>75-79 ans</c:v>
                </c:pt>
                <c:pt idx="13">
                  <c:v>80 ans et plus</c:v>
                </c:pt>
              </c:strCache>
            </c:strRef>
          </c:cat>
          <c:val>
            <c:numRef>
              <c:f>tx_actvite!$D$6:$D$19</c:f>
              <c:numCache>
                <c:ptCount val="14"/>
                <c:pt idx="0">
                  <c:v>14.550112806393637</c:v>
                </c:pt>
                <c:pt idx="1">
                  <c:v>62.83448520290625</c:v>
                </c:pt>
                <c:pt idx="2">
                  <c:v>76.8391967237381</c:v>
                </c:pt>
                <c:pt idx="3">
                  <c:v>78.56574497712353</c:v>
                </c:pt>
                <c:pt idx="4">
                  <c:v>77.57648183556405</c:v>
                </c:pt>
                <c:pt idx="5">
                  <c:v>76.76137792305758</c:v>
                </c:pt>
                <c:pt idx="6">
                  <c:v>73.59645288203335</c:v>
                </c:pt>
                <c:pt idx="7">
                  <c:v>62.44975517064971</c:v>
                </c:pt>
                <c:pt idx="8">
                  <c:v>43.21572580645161</c:v>
                </c:pt>
                <c:pt idx="9">
                  <c:v>20.153452685421993</c:v>
                </c:pt>
                <c:pt idx="10">
                  <c:v>9.296822177146721</c:v>
                </c:pt>
                <c:pt idx="11">
                  <c:v>4.91725768321513</c:v>
                </c:pt>
                <c:pt idx="12">
                  <c:v>3.67112810707457</c:v>
                </c:pt>
                <c:pt idx="13">
                  <c:v>1.300578034682081</c:v>
                </c:pt>
              </c:numCache>
            </c:numRef>
          </c:val>
          <c:smooth val="0"/>
        </c:ser>
        <c:marker val="1"/>
        <c:axId val="34276976"/>
        <c:axId val="40057329"/>
      </c:lineChart>
      <c:catAx>
        <c:axId val="3427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57329"/>
        <c:crosses val="autoZero"/>
        <c:auto val="1"/>
        <c:lblOffset val="100"/>
        <c:tickLblSkip val="1"/>
        <c:noMultiLvlLbl val="0"/>
      </c:catAx>
      <c:valAx>
        <c:axId val="40057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769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75"/>
          <c:y val="0.02775"/>
          <c:w val="0.16125"/>
          <c:h val="0.1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25"/>
          <c:w val="0.98375"/>
          <c:h val="0.9645"/>
        </c:manualLayout>
      </c:layout>
      <c:lineChart>
        <c:grouping val="standard"/>
        <c:varyColors val="0"/>
        <c:ser>
          <c:idx val="0"/>
          <c:order val="0"/>
          <c:tx>
            <c:v>population passée jusqu'en 2007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Pop_avec_mig!$A$19:$A$44</c:f>
              <c:numCache>
                <c:ptCount val="2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</c:numCache>
            </c:numRef>
          </c:cat>
          <c:val>
            <c:numRef>
              <c:f>Pop_avec_mig!$B$19:$B$44</c:f>
              <c:numCache>
                <c:ptCount val="26"/>
                <c:pt idx="0">
                  <c:v>245304</c:v>
                </c:pt>
                <c:pt idx="1">
                  <c:v>248461</c:v>
                </c:pt>
                <c:pt idx="2">
                  <c:v>251540</c:v>
                </c:pt>
                <c:pt idx="3">
                  <c:v>254546</c:v>
                </c:pt>
                <c:pt idx="4">
                  <c:v>257765</c:v>
                </c:pt>
                <c:pt idx="5">
                  <c:v>260740</c:v>
                </c:pt>
              </c:numCache>
            </c:numRef>
          </c:val>
          <c:smooth val="0"/>
        </c:ser>
        <c:ser>
          <c:idx val="4"/>
          <c:order val="1"/>
          <c:tx>
            <c:v> scénario de référence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Pop_avec_mig!$A$19:$A$44</c:f>
              <c:numCache>
                <c:ptCount val="2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</c:numCache>
            </c:numRef>
          </c:cat>
          <c:val>
            <c:numRef>
              <c:f>Pop_avec_mig!$C$19:$C$44</c:f>
              <c:numCach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260740</c:v>
                </c:pt>
                <c:pt idx="6">
                  <c:v>263885</c:v>
                </c:pt>
                <c:pt idx="7">
                  <c:v>267067</c:v>
                </c:pt>
                <c:pt idx="8">
                  <c:v>270259</c:v>
                </c:pt>
                <c:pt idx="9">
                  <c:v>273455</c:v>
                </c:pt>
                <c:pt idx="10">
                  <c:v>276649</c:v>
                </c:pt>
                <c:pt idx="11">
                  <c:v>279838</c:v>
                </c:pt>
                <c:pt idx="12">
                  <c:v>283018</c:v>
                </c:pt>
                <c:pt idx="13">
                  <c:v>286181</c:v>
                </c:pt>
                <c:pt idx="14">
                  <c:v>289324</c:v>
                </c:pt>
                <c:pt idx="15">
                  <c:v>292416</c:v>
                </c:pt>
                <c:pt idx="16">
                  <c:v>295471</c:v>
                </c:pt>
                <c:pt idx="17">
                  <c:v>298487</c:v>
                </c:pt>
                <c:pt idx="18">
                  <c:v>301460</c:v>
                </c:pt>
                <c:pt idx="19">
                  <c:v>304385</c:v>
                </c:pt>
                <c:pt idx="20">
                  <c:v>307254</c:v>
                </c:pt>
                <c:pt idx="21">
                  <c:v>310060</c:v>
                </c:pt>
                <c:pt idx="22">
                  <c:v>312799</c:v>
                </c:pt>
                <c:pt idx="23">
                  <c:v>315470</c:v>
                </c:pt>
                <c:pt idx="24">
                  <c:v>318071</c:v>
                </c:pt>
                <c:pt idx="25">
                  <c:v>320603</c:v>
                </c:pt>
              </c:numCache>
            </c:numRef>
          </c:val>
          <c:smooth val="0"/>
        </c:ser>
        <c:ser>
          <c:idx val="6"/>
          <c:order val="2"/>
          <c:tx>
            <c:v>scénario tendanciel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Pop_avec_mig!$A$19:$A$44</c:f>
              <c:numCache>
                <c:ptCount val="2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</c:numCache>
            </c:numRef>
          </c:cat>
          <c:val>
            <c:numRef>
              <c:f>Pop_avec_mig!$D$19:$D$44</c:f>
              <c:numCach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260740</c:v>
                </c:pt>
                <c:pt idx="6">
                  <c:v>263679</c:v>
                </c:pt>
                <c:pt idx="7">
                  <c:v>266653</c:v>
                </c:pt>
                <c:pt idx="8">
                  <c:v>269634</c:v>
                </c:pt>
                <c:pt idx="9">
                  <c:v>272616</c:v>
                </c:pt>
                <c:pt idx="10">
                  <c:v>275594</c:v>
                </c:pt>
                <c:pt idx="11">
                  <c:v>278564</c:v>
                </c:pt>
                <c:pt idx="12">
                  <c:v>281522</c:v>
                </c:pt>
                <c:pt idx="13">
                  <c:v>284462</c:v>
                </c:pt>
                <c:pt idx="14">
                  <c:v>287378</c:v>
                </c:pt>
                <c:pt idx="15">
                  <c:v>290241</c:v>
                </c:pt>
                <c:pt idx="16">
                  <c:v>293065</c:v>
                </c:pt>
                <c:pt idx="17">
                  <c:v>295848</c:v>
                </c:pt>
                <c:pt idx="18">
                  <c:v>298584</c:v>
                </c:pt>
                <c:pt idx="19">
                  <c:v>301270</c:v>
                </c:pt>
                <c:pt idx="20">
                  <c:v>303899</c:v>
                </c:pt>
                <c:pt idx="21">
                  <c:v>306461</c:v>
                </c:pt>
                <c:pt idx="22">
                  <c:v>308955</c:v>
                </c:pt>
                <c:pt idx="23">
                  <c:v>311377</c:v>
                </c:pt>
                <c:pt idx="24">
                  <c:v>313728</c:v>
                </c:pt>
                <c:pt idx="25">
                  <c:v>316008</c:v>
                </c:pt>
              </c:numCache>
            </c:numRef>
          </c:val>
          <c:smooth val="0"/>
        </c:ser>
        <c:ser>
          <c:idx val="7"/>
          <c:order val="3"/>
          <c:tx>
            <c:v>scénario extrême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Pop_avec_mig!$A$19:$A$44</c:f>
              <c:numCache>
                <c:ptCount val="2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</c:numCache>
            </c:numRef>
          </c:cat>
          <c:val>
            <c:numRef>
              <c:f>Pop_avec_mig!$E$19:$E$44</c:f>
              <c:numCach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260740</c:v>
                </c:pt>
                <c:pt idx="6">
                  <c:v>262857</c:v>
                </c:pt>
                <c:pt idx="7">
                  <c:v>264997</c:v>
                </c:pt>
                <c:pt idx="8">
                  <c:v>267133</c:v>
                </c:pt>
                <c:pt idx="9">
                  <c:v>269260</c:v>
                </c:pt>
                <c:pt idx="10">
                  <c:v>271373</c:v>
                </c:pt>
                <c:pt idx="11">
                  <c:v>273468</c:v>
                </c:pt>
                <c:pt idx="12">
                  <c:v>275540</c:v>
                </c:pt>
                <c:pt idx="13">
                  <c:v>277584</c:v>
                </c:pt>
                <c:pt idx="14">
                  <c:v>279594</c:v>
                </c:pt>
                <c:pt idx="15">
                  <c:v>281542</c:v>
                </c:pt>
                <c:pt idx="16">
                  <c:v>283441</c:v>
                </c:pt>
                <c:pt idx="17">
                  <c:v>285288</c:v>
                </c:pt>
                <c:pt idx="18">
                  <c:v>287080</c:v>
                </c:pt>
                <c:pt idx="19">
                  <c:v>288811</c:v>
                </c:pt>
                <c:pt idx="20">
                  <c:v>290476</c:v>
                </c:pt>
                <c:pt idx="21">
                  <c:v>292065</c:v>
                </c:pt>
                <c:pt idx="22">
                  <c:v>293577</c:v>
                </c:pt>
                <c:pt idx="23">
                  <c:v>295008</c:v>
                </c:pt>
                <c:pt idx="24">
                  <c:v>296358</c:v>
                </c:pt>
                <c:pt idx="25">
                  <c:v>297628</c:v>
                </c:pt>
              </c:numCache>
            </c:numRef>
          </c:val>
          <c:smooth val="0"/>
        </c:ser>
        <c:ser>
          <c:idx val="8"/>
          <c:order val="4"/>
          <c:tx>
            <c:v>scénario probable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Pop_avec_mig!$A$19:$A$44</c:f>
              <c:numCache>
                <c:ptCount val="2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  <c:pt idx="22">
                  <c:v>2024</c:v>
                </c:pt>
                <c:pt idx="23">
                  <c:v>2025</c:v>
                </c:pt>
                <c:pt idx="24">
                  <c:v>2026</c:v>
                </c:pt>
                <c:pt idx="25">
                  <c:v>2027</c:v>
                </c:pt>
              </c:numCache>
            </c:numRef>
          </c:cat>
          <c:val>
            <c:numRef>
              <c:f>Pop_avec_mig!$F$19:$F$44</c:f>
              <c:numCach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260740</c:v>
                </c:pt>
                <c:pt idx="6">
                  <c:v>263616</c:v>
                </c:pt>
                <c:pt idx="7">
                  <c:v>266403</c:v>
                </c:pt>
                <c:pt idx="8">
                  <c:v>269070</c:v>
                </c:pt>
                <c:pt idx="9">
                  <c:v>271611</c:v>
                </c:pt>
                <c:pt idx="10">
                  <c:v>274020</c:v>
                </c:pt>
                <c:pt idx="11">
                  <c:v>276416</c:v>
                </c:pt>
                <c:pt idx="12">
                  <c:v>278917</c:v>
                </c:pt>
                <c:pt idx="13">
                  <c:v>281517</c:v>
                </c:pt>
                <c:pt idx="14">
                  <c:v>284214</c:v>
                </c:pt>
                <c:pt idx="15">
                  <c:v>286979</c:v>
                </c:pt>
                <c:pt idx="16">
                  <c:v>289764</c:v>
                </c:pt>
                <c:pt idx="17">
                  <c:v>292509</c:v>
                </c:pt>
                <c:pt idx="18">
                  <c:v>295208</c:v>
                </c:pt>
                <c:pt idx="19">
                  <c:v>297856</c:v>
                </c:pt>
                <c:pt idx="20">
                  <c:v>300447</c:v>
                </c:pt>
                <c:pt idx="21">
                  <c:v>302973</c:v>
                </c:pt>
                <c:pt idx="22">
                  <c:v>305431</c:v>
                </c:pt>
                <c:pt idx="23">
                  <c:v>307818</c:v>
                </c:pt>
                <c:pt idx="24">
                  <c:v>310133</c:v>
                </c:pt>
                <c:pt idx="25">
                  <c:v>312378</c:v>
                </c:pt>
              </c:numCache>
            </c:numRef>
          </c:val>
          <c:smooth val="0"/>
        </c:ser>
        <c:hiLowLines>
          <c:spPr>
            <a:ln w="3175">
              <a:solidFill>
                <a:srgbClr val="CCFFCC"/>
              </a:solidFill>
            </a:ln>
          </c:spPr>
        </c:hiLowLines>
        <c:marker val="1"/>
        <c:axId val="24971642"/>
        <c:axId val="23418187"/>
      </c:lineChart>
      <c:catAx>
        <c:axId val="249716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18187"/>
        <c:crosses val="autoZero"/>
        <c:auto val="1"/>
        <c:lblOffset val="100"/>
        <c:tickLblSkip val="1"/>
        <c:noMultiLvlLbl val="0"/>
      </c:catAx>
      <c:valAx>
        <c:axId val="23418187"/>
        <c:scaling>
          <c:orientation val="minMax"/>
          <c:max val="330000"/>
          <c:min val="24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71642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8"/>
          <c:y val="0.57075"/>
          <c:w val="0.268"/>
          <c:h val="0.33675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6975"/>
          <c:w val="0.970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Ages_actif!$D$3</c:f>
              <c:strCache>
                <c:ptCount val="1"/>
                <c:pt idx="0">
                  <c:v>Population totale (Taux de croissance annuelle - %)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Ages_actif!$A$5:$A$24</c:f>
              <c:strCache>
                <c:ptCount val="2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  <c:pt idx="16">
                  <c:v>45657</c:v>
                </c:pt>
                <c:pt idx="17">
                  <c:v>46022</c:v>
                </c:pt>
                <c:pt idx="18">
                  <c:v>46387</c:v>
                </c:pt>
                <c:pt idx="19">
                  <c:v>46752</c:v>
                </c:pt>
              </c:strCache>
            </c:strRef>
          </c:cat>
          <c:val>
            <c:numRef>
              <c:f>Ages_actif!$D$5:$D$24</c:f>
              <c:numCache>
                <c:ptCount val="20"/>
                <c:pt idx="0">
                  <c:v>1.2061824039272917</c:v>
                </c:pt>
                <c:pt idx="1">
                  <c:v>1.2058282964169997</c:v>
                </c:pt>
                <c:pt idx="2">
                  <c:v>1.1952056974467107</c:v>
                </c:pt>
                <c:pt idx="3">
                  <c:v>1.182569313140358</c:v>
                </c:pt>
                <c:pt idx="4">
                  <c:v>1.168016675504191</c:v>
                </c:pt>
                <c:pt idx="5">
                  <c:v>1.1527242101001534</c:v>
                </c:pt>
                <c:pt idx="6">
                  <c:v>1.1363717579456756</c:v>
                </c:pt>
                <c:pt idx="7">
                  <c:v>1.1175967606300574</c:v>
                </c:pt>
                <c:pt idx="8">
                  <c:v>1.0982559988259144</c:v>
                </c:pt>
                <c:pt idx="9">
                  <c:v>1.0686980686012815</c:v>
                </c:pt>
                <c:pt idx="10">
                  <c:v>1.0447444736266132</c:v>
                </c:pt>
                <c:pt idx="11">
                  <c:v>1.0210815951480878</c:v>
                </c:pt>
                <c:pt idx="12">
                  <c:v>0.9956849186566918</c:v>
                </c:pt>
                <c:pt idx="13">
                  <c:v>0.9702779804949158</c:v>
                </c:pt>
                <c:pt idx="14">
                  <c:v>0.942556302051667</c:v>
                </c:pt>
                <c:pt idx="15">
                  <c:v>0.9132509259440091</c:v>
                </c:pt>
                <c:pt idx="16">
                  <c:v>0.8833774108237158</c:v>
                </c:pt>
                <c:pt idx="17">
                  <c:v>0.853902985623356</c:v>
                </c:pt>
                <c:pt idx="18">
                  <c:v>0.8244841030842887</c:v>
                </c:pt>
                <c:pt idx="19">
                  <c:v>0.7966774713821678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Ages_actif!$E$3</c:f>
              <c:strCache>
                <c:ptCount val="1"/>
                <c:pt idx="0">
                  <c:v>20 à 59 ans (Taux de croissance annuelle - %)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Ages_actif!$A$5:$A$24</c:f>
              <c:strCache>
                <c:ptCount val="20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  <c:pt idx="11">
                  <c:v>43830</c:v>
                </c:pt>
                <c:pt idx="12">
                  <c:v>44196</c:v>
                </c:pt>
                <c:pt idx="13">
                  <c:v>44561</c:v>
                </c:pt>
                <c:pt idx="14">
                  <c:v>44926</c:v>
                </c:pt>
                <c:pt idx="15">
                  <c:v>45291</c:v>
                </c:pt>
                <c:pt idx="16">
                  <c:v>45657</c:v>
                </c:pt>
                <c:pt idx="17">
                  <c:v>46022</c:v>
                </c:pt>
                <c:pt idx="18">
                  <c:v>46387</c:v>
                </c:pt>
                <c:pt idx="19">
                  <c:v>46752</c:v>
                </c:pt>
              </c:strCache>
            </c:strRef>
          </c:cat>
          <c:val>
            <c:numRef>
              <c:f>Ages_actif!$E$5:$E$24</c:f>
              <c:numCache>
                <c:ptCount val="20"/>
                <c:pt idx="0">
                  <c:v>2.1333855262513968</c:v>
                </c:pt>
                <c:pt idx="1">
                  <c:v>2.163423698421063</c:v>
                </c:pt>
                <c:pt idx="2">
                  <c:v>2.1062221984029073</c:v>
                </c:pt>
                <c:pt idx="3">
                  <c:v>1.9466460214150771</c:v>
                </c:pt>
                <c:pt idx="4">
                  <c:v>1.7234832639349218</c:v>
                </c:pt>
                <c:pt idx="5">
                  <c:v>1.4766450927173658</c:v>
                </c:pt>
                <c:pt idx="6">
                  <c:v>1.258143957105884</c:v>
                </c:pt>
                <c:pt idx="7">
                  <c:v>1.0972028101198905</c:v>
                </c:pt>
                <c:pt idx="8">
                  <c:v>1.0170833460215079</c:v>
                </c:pt>
                <c:pt idx="9">
                  <c:v>0.9881530160069874</c:v>
                </c:pt>
                <c:pt idx="10">
                  <c:v>0.979081096570833</c:v>
                </c:pt>
                <c:pt idx="11">
                  <c:v>0.9477131911270975</c:v>
                </c:pt>
                <c:pt idx="12">
                  <c:v>0.8720504606230195</c:v>
                </c:pt>
                <c:pt idx="13">
                  <c:v>0.7420051557165852</c:v>
                </c:pt>
                <c:pt idx="14">
                  <c:v>0.576898694053507</c:v>
                </c:pt>
                <c:pt idx="15">
                  <c:v>0.351259204079879</c:v>
                </c:pt>
                <c:pt idx="16">
                  <c:v>0.2569549129779469</c:v>
                </c:pt>
                <c:pt idx="17">
                  <c:v>0.1851029172219798</c:v>
                </c:pt>
                <c:pt idx="18">
                  <c:v>0.14382926954059627</c:v>
                </c:pt>
                <c:pt idx="19">
                  <c:v>0.12716001725743276</c:v>
                </c:pt>
              </c:numCache>
            </c:numRef>
          </c:val>
          <c:smooth val="0"/>
        </c:ser>
        <c:marker val="1"/>
        <c:axId val="9437092"/>
        <c:axId val="17824965"/>
      </c:lineChart>
      <c:dateAx>
        <c:axId val="943709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24965"/>
        <c:crosses val="autoZero"/>
        <c:auto val="0"/>
        <c:baseTimeUnit val="years"/>
        <c:majorUnit val="1"/>
        <c:majorTimeUnit val="years"/>
        <c:minorUnit val="1"/>
        <c:minorTimeUnit val="years"/>
        <c:noMultiLvlLbl val="0"/>
      </c:dateAx>
      <c:valAx>
        <c:axId val="1782496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437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"/>
          <c:w val="0.99025"/>
          <c:h val="0.968"/>
        </c:manualLayout>
      </c:layout>
      <c:lineChart>
        <c:grouping val="standard"/>
        <c:varyColors val="0"/>
        <c:ser>
          <c:idx val="0"/>
          <c:order val="0"/>
          <c:tx>
            <c:v>Evolution passée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ESV!$A$3:$A$43</c:f>
              <c:numCache>
                <c:ptCount val="4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  <c:pt idx="37">
                  <c:v>2024</c:v>
                </c:pt>
                <c:pt idx="38">
                  <c:v>2025</c:v>
                </c:pt>
                <c:pt idx="39">
                  <c:v>2026</c:v>
                </c:pt>
                <c:pt idx="40">
                  <c:v>2027</c:v>
                </c:pt>
              </c:numCache>
            </c:numRef>
          </c:cat>
          <c:val>
            <c:numRef>
              <c:f>ESV!$B$3:$B$43</c:f>
              <c:numCache>
                <c:ptCount val="41"/>
                <c:pt idx="0">
                  <c:v>65</c:v>
                </c:pt>
                <c:pt idx="1">
                  <c:v>66.3</c:v>
                </c:pt>
                <c:pt idx="2">
                  <c:v>65.4</c:v>
                </c:pt>
                <c:pt idx="3">
                  <c:v>66.9</c:v>
                </c:pt>
                <c:pt idx="4">
                  <c:v>67.8</c:v>
                </c:pt>
                <c:pt idx="5">
                  <c:v>67.7</c:v>
                </c:pt>
                <c:pt idx="6">
                  <c:v>67.3</c:v>
                </c:pt>
                <c:pt idx="7">
                  <c:v>68.4</c:v>
                </c:pt>
                <c:pt idx="8">
                  <c:v>67.2</c:v>
                </c:pt>
                <c:pt idx="9">
                  <c:v>68.7</c:v>
                </c:pt>
                <c:pt idx="10">
                  <c:v>68.7</c:v>
                </c:pt>
                <c:pt idx="11">
                  <c:v>68.3</c:v>
                </c:pt>
                <c:pt idx="12">
                  <c:v>70.4</c:v>
                </c:pt>
                <c:pt idx="13">
                  <c:v>70.5</c:v>
                </c:pt>
                <c:pt idx="14">
                  <c:v>69.5</c:v>
                </c:pt>
                <c:pt idx="15">
                  <c:v>71.2</c:v>
                </c:pt>
                <c:pt idx="16">
                  <c:v>70.8</c:v>
                </c:pt>
                <c:pt idx="17">
                  <c:v>71.4</c:v>
                </c:pt>
                <c:pt idx="18">
                  <c:v>71.2</c:v>
                </c:pt>
                <c:pt idx="19">
                  <c:v>72.8</c:v>
                </c:pt>
                <c:pt idx="20">
                  <c:v>71.9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ESV!$C$2</c:f>
              <c:strCache>
                <c:ptCount val="1"/>
                <c:pt idx="0">
                  <c:v>Femmes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ESV!$A$3:$A$43</c:f>
              <c:numCache>
                <c:ptCount val="4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  <c:pt idx="37">
                  <c:v>2024</c:v>
                </c:pt>
                <c:pt idx="38">
                  <c:v>2025</c:v>
                </c:pt>
                <c:pt idx="39">
                  <c:v>2026</c:v>
                </c:pt>
                <c:pt idx="40">
                  <c:v>2027</c:v>
                </c:pt>
              </c:numCache>
            </c:numRef>
          </c:cat>
          <c:val>
            <c:numRef>
              <c:f>ESV!$C$3:$C$43</c:f>
              <c:numCache>
                <c:ptCount val="41"/>
                <c:pt idx="0">
                  <c:v>70.1</c:v>
                </c:pt>
                <c:pt idx="1">
                  <c:v>71.4</c:v>
                </c:pt>
                <c:pt idx="2">
                  <c:v>70.5</c:v>
                </c:pt>
                <c:pt idx="3">
                  <c:v>72.6</c:v>
                </c:pt>
                <c:pt idx="4">
                  <c:v>70.8</c:v>
                </c:pt>
                <c:pt idx="5">
                  <c:v>71.1</c:v>
                </c:pt>
                <c:pt idx="6">
                  <c:v>72.1</c:v>
                </c:pt>
                <c:pt idx="7">
                  <c:v>71.7</c:v>
                </c:pt>
                <c:pt idx="8">
                  <c:v>72.5</c:v>
                </c:pt>
                <c:pt idx="9">
                  <c:v>73.7</c:v>
                </c:pt>
                <c:pt idx="10">
                  <c:v>73.8</c:v>
                </c:pt>
                <c:pt idx="11">
                  <c:v>74.6</c:v>
                </c:pt>
                <c:pt idx="12">
                  <c:v>75.1</c:v>
                </c:pt>
                <c:pt idx="13">
                  <c:v>75.3</c:v>
                </c:pt>
                <c:pt idx="14">
                  <c:v>74.9</c:v>
                </c:pt>
                <c:pt idx="15">
                  <c:v>76.1</c:v>
                </c:pt>
                <c:pt idx="16">
                  <c:v>76.3</c:v>
                </c:pt>
                <c:pt idx="17">
                  <c:v>76.7</c:v>
                </c:pt>
                <c:pt idx="18">
                  <c:v>76.2</c:v>
                </c:pt>
                <c:pt idx="19">
                  <c:v>76.6</c:v>
                </c:pt>
                <c:pt idx="20">
                  <c:v>77.1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ESV!$D$2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ESV!$A$3:$A$43</c:f>
              <c:numCache>
                <c:ptCount val="4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  <c:pt idx="37">
                  <c:v>2024</c:v>
                </c:pt>
                <c:pt idx="38">
                  <c:v>2025</c:v>
                </c:pt>
                <c:pt idx="39">
                  <c:v>2026</c:v>
                </c:pt>
                <c:pt idx="40">
                  <c:v>2027</c:v>
                </c:pt>
              </c:numCache>
            </c:numRef>
          </c:cat>
          <c:val>
            <c:numRef>
              <c:f>ESV!$D$3:$D$43</c:f>
              <c:numCache>
                <c:ptCount val="41"/>
                <c:pt idx="0">
                  <c:v>67.3</c:v>
                </c:pt>
                <c:pt idx="1">
                  <c:v>68.7</c:v>
                </c:pt>
                <c:pt idx="2">
                  <c:v>67.7</c:v>
                </c:pt>
                <c:pt idx="3">
                  <c:v>69.5</c:v>
                </c:pt>
                <c:pt idx="4">
                  <c:v>69.3</c:v>
                </c:pt>
                <c:pt idx="5">
                  <c:v>69.3</c:v>
                </c:pt>
                <c:pt idx="6">
                  <c:v>69.5</c:v>
                </c:pt>
                <c:pt idx="7">
                  <c:v>70</c:v>
                </c:pt>
                <c:pt idx="8">
                  <c:v>69.6</c:v>
                </c:pt>
                <c:pt idx="9">
                  <c:v>71</c:v>
                </c:pt>
                <c:pt idx="10">
                  <c:v>71</c:v>
                </c:pt>
                <c:pt idx="11">
                  <c:v>71.1</c:v>
                </c:pt>
                <c:pt idx="12">
                  <c:v>72.6</c:v>
                </c:pt>
                <c:pt idx="13">
                  <c:v>72.8</c:v>
                </c:pt>
                <c:pt idx="14">
                  <c:v>72</c:v>
                </c:pt>
                <c:pt idx="15">
                  <c:v>73.5</c:v>
                </c:pt>
                <c:pt idx="16">
                  <c:v>73.4</c:v>
                </c:pt>
                <c:pt idx="17">
                  <c:v>73.9</c:v>
                </c:pt>
                <c:pt idx="18">
                  <c:v>73.5</c:v>
                </c:pt>
                <c:pt idx="19">
                  <c:v>74.6</c:v>
                </c:pt>
                <c:pt idx="20">
                  <c:v>74.3</c:v>
                </c:pt>
              </c:numCache>
            </c:numRef>
          </c:val>
          <c:smooth val="0"/>
        </c:ser>
        <c:ser>
          <c:idx val="3"/>
          <c:order val="3"/>
          <c:tx>
            <c:v>Hypothèse</c:v>
          </c:tx>
          <c:spPr>
            <a:ln w="381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ESV!$A$3:$A$43</c:f>
              <c:numCache>
                <c:ptCount val="4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  <c:pt idx="37">
                  <c:v>2024</c:v>
                </c:pt>
                <c:pt idx="38">
                  <c:v>2025</c:v>
                </c:pt>
                <c:pt idx="39">
                  <c:v>2026</c:v>
                </c:pt>
                <c:pt idx="40">
                  <c:v>2027</c:v>
                </c:pt>
              </c:numCache>
            </c:numRef>
          </c:cat>
          <c:val>
            <c:numRef>
              <c:f>ESV!$E$3:$E$43</c:f>
              <c:numCache>
                <c:ptCount val="41"/>
                <c:pt idx="20">
                  <c:v>71.9</c:v>
                </c:pt>
                <c:pt idx="21">
                  <c:v>72.1</c:v>
                </c:pt>
                <c:pt idx="22">
                  <c:v>72.5</c:v>
                </c:pt>
                <c:pt idx="23">
                  <c:v>72.8</c:v>
                </c:pt>
                <c:pt idx="24">
                  <c:v>73.2</c:v>
                </c:pt>
                <c:pt idx="25">
                  <c:v>73.5</c:v>
                </c:pt>
                <c:pt idx="26">
                  <c:v>73.9</c:v>
                </c:pt>
                <c:pt idx="27">
                  <c:v>74.3</c:v>
                </c:pt>
                <c:pt idx="28">
                  <c:v>74.7</c:v>
                </c:pt>
                <c:pt idx="29">
                  <c:v>75.1</c:v>
                </c:pt>
                <c:pt idx="30">
                  <c:v>75.4</c:v>
                </c:pt>
                <c:pt idx="31">
                  <c:v>75.7</c:v>
                </c:pt>
                <c:pt idx="32">
                  <c:v>76</c:v>
                </c:pt>
                <c:pt idx="33">
                  <c:v>76.3</c:v>
                </c:pt>
                <c:pt idx="34">
                  <c:v>76.6</c:v>
                </c:pt>
                <c:pt idx="35">
                  <c:v>77</c:v>
                </c:pt>
                <c:pt idx="36">
                  <c:v>77.3</c:v>
                </c:pt>
                <c:pt idx="37">
                  <c:v>77.7</c:v>
                </c:pt>
                <c:pt idx="38">
                  <c:v>78</c:v>
                </c:pt>
                <c:pt idx="39">
                  <c:v>78.4</c:v>
                </c:pt>
                <c:pt idx="40">
                  <c:v>78.7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ESV!$F$2</c:f>
              <c:strCache>
                <c:ptCount val="1"/>
                <c:pt idx="0">
                  <c:v>Femmes (hypothèse)</c:v>
                </c:pt>
              </c:strCache>
            </c:strRef>
          </c:tx>
          <c:spPr>
            <a:ln w="381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ESV!$A$3:$A$43</c:f>
              <c:numCache>
                <c:ptCount val="4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  <c:pt idx="37">
                  <c:v>2024</c:v>
                </c:pt>
                <c:pt idx="38">
                  <c:v>2025</c:v>
                </c:pt>
                <c:pt idx="39">
                  <c:v>2026</c:v>
                </c:pt>
                <c:pt idx="40">
                  <c:v>2027</c:v>
                </c:pt>
              </c:numCache>
            </c:numRef>
          </c:cat>
          <c:val>
            <c:numRef>
              <c:f>ESV!$F$3:$F$43</c:f>
              <c:numCache>
                <c:ptCount val="41"/>
                <c:pt idx="20">
                  <c:v>77.1</c:v>
                </c:pt>
                <c:pt idx="21">
                  <c:v>77.2</c:v>
                </c:pt>
                <c:pt idx="22">
                  <c:v>77.5</c:v>
                </c:pt>
                <c:pt idx="23">
                  <c:v>77.8</c:v>
                </c:pt>
                <c:pt idx="24">
                  <c:v>78</c:v>
                </c:pt>
                <c:pt idx="25">
                  <c:v>78.3</c:v>
                </c:pt>
                <c:pt idx="26">
                  <c:v>78.6</c:v>
                </c:pt>
                <c:pt idx="27">
                  <c:v>79</c:v>
                </c:pt>
                <c:pt idx="28">
                  <c:v>79.3</c:v>
                </c:pt>
                <c:pt idx="29">
                  <c:v>79.6</c:v>
                </c:pt>
                <c:pt idx="30">
                  <c:v>79.9</c:v>
                </c:pt>
                <c:pt idx="31">
                  <c:v>80.2</c:v>
                </c:pt>
                <c:pt idx="32">
                  <c:v>80.5</c:v>
                </c:pt>
                <c:pt idx="33">
                  <c:v>80.9</c:v>
                </c:pt>
                <c:pt idx="34">
                  <c:v>81.2</c:v>
                </c:pt>
                <c:pt idx="35">
                  <c:v>81.5</c:v>
                </c:pt>
                <c:pt idx="36">
                  <c:v>81.9</c:v>
                </c:pt>
                <c:pt idx="37">
                  <c:v>82.2</c:v>
                </c:pt>
                <c:pt idx="38">
                  <c:v>82.6</c:v>
                </c:pt>
                <c:pt idx="39">
                  <c:v>82.9</c:v>
                </c:pt>
                <c:pt idx="40">
                  <c:v>83.3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ESV!$G$2</c:f>
              <c:strCache>
                <c:ptCount val="1"/>
                <c:pt idx="0">
                  <c:v>Ensemble (hypothèse)</c:v>
                </c:pt>
              </c:strCache>
            </c:strRef>
          </c:tx>
          <c:spPr>
            <a:ln w="381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ESV!$A$3:$A$43</c:f>
              <c:numCache>
                <c:ptCount val="41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  <c:pt idx="33">
                  <c:v>2020</c:v>
                </c:pt>
                <c:pt idx="34">
                  <c:v>2021</c:v>
                </c:pt>
                <c:pt idx="35">
                  <c:v>2022</c:v>
                </c:pt>
                <c:pt idx="36">
                  <c:v>2023</c:v>
                </c:pt>
                <c:pt idx="37">
                  <c:v>2024</c:v>
                </c:pt>
                <c:pt idx="38">
                  <c:v>2025</c:v>
                </c:pt>
                <c:pt idx="39">
                  <c:v>2026</c:v>
                </c:pt>
                <c:pt idx="40">
                  <c:v>2027</c:v>
                </c:pt>
              </c:numCache>
            </c:numRef>
          </c:cat>
          <c:val>
            <c:numRef>
              <c:f>ESV!$G$3:$G$43</c:f>
              <c:numCache>
                <c:ptCount val="41"/>
                <c:pt idx="20">
                  <c:v>74.4</c:v>
                </c:pt>
                <c:pt idx="21">
                  <c:v>74.6</c:v>
                </c:pt>
                <c:pt idx="22">
                  <c:v>74.9</c:v>
                </c:pt>
                <c:pt idx="23">
                  <c:v>75.2</c:v>
                </c:pt>
                <c:pt idx="24">
                  <c:v>75.6</c:v>
                </c:pt>
                <c:pt idx="25">
                  <c:v>75.9</c:v>
                </c:pt>
                <c:pt idx="26">
                  <c:v>76.2</c:v>
                </c:pt>
                <c:pt idx="27">
                  <c:v>76.6</c:v>
                </c:pt>
                <c:pt idx="28">
                  <c:v>76.9</c:v>
                </c:pt>
                <c:pt idx="29">
                  <c:v>77.3</c:v>
                </c:pt>
                <c:pt idx="30">
                  <c:v>77.6</c:v>
                </c:pt>
                <c:pt idx="31">
                  <c:v>77.9</c:v>
                </c:pt>
                <c:pt idx="32">
                  <c:v>78.2</c:v>
                </c:pt>
                <c:pt idx="33">
                  <c:v>78.5</c:v>
                </c:pt>
                <c:pt idx="34">
                  <c:v>78.9</c:v>
                </c:pt>
                <c:pt idx="35">
                  <c:v>79.2</c:v>
                </c:pt>
                <c:pt idx="36">
                  <c:v>79.6</c:v>
                </c:pt>
                <c:pt idx="37">
                  <c:v>79.9</c:v>
                </c:pt>
                <c:pt idx="38">
                  <c:v>80.3</c:v>
                </c:pt>
                <c:pt idx="39">
                  <c:v>80.6</c:v>
                </c:pt>
                <c:pt idx="40">
                  <c:v>81</c:v>
                </c:pt>
              </c:numCache>
            </c:numRef>
          </c:val>
          <c:smooth val="0"/>
        </c:ser>
        <c:marker val="1"/>
        <c:axId val="26192876"/>
        <c:axId val="34409293"/>
      </c:line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34409293"/>
        <c:crosses val="autoZero"/>
        <c:auto val="1"/>
        <c:lblOffset val="100"/>
        <c:tickLblSkip val="5"/>
        <c:noMultiLvlLbl val="0"/>
      </c:catAx>
      <c:valAx>
        <c:axId val="34409293"/>
        <c:scaling>
          <c:orientation val="minMax"/>
          <c:max val="85"/>
          <c:min val="6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26192876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575"/>
          <c:y val="0.763"/>
          <c:w val="0.175"/>
          <c:h val="0.11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325"/>
          <c:w val="0.99025"/>
          <c:h val="0.8845"/>
        </c:manualLayout>
      </c:layout>
      <c:lineChart>
        <c:grouping val="standard"/>
        <c:varyColors val="0"/>
        <c:ser>
          <c:idx val="0"/>
          <c:order val="0"/>
          <c:tx>
            <c:v>Evolution passée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POP_EVO!$A$14:$A$58</c:f>
              <c:strCache>
                <c:ptCount val="45"/>
                <c:pt idx="0">
                  <c:v>22959</c:v>
                </c:pt>
                <c:pt idx="1">
                  <c:v>24473</c:v>
                </c:pt>
                <c:pt idx="2">
                  <c:v>25972</c:v>
                </c:pt>
                <c:pt idx="3">
                  <c:v>28244</c:v>
                </c:pt>
                <c:pt idx="4">
                  <c:v>30604</c:v>
                </c:pt>
                <c:pt idx="5">
                  <c:v>32508</c:v>
                </c:pt>
                <c:pt idx="6">
                  <c:v>32873</c:v>
                </c:pt>
                <c:pt idx="7">
                  <c:v>33238</c:v>
                </c:pt>
                <c:pt idx="8">
                  <c:v>33603</c:v>
                </c:pt>
                <c:pt idx="9">
                  <c:v>33969</c:v>
                </c:pt>
                <c:pt idx="10">
                  <c:v>34334</c:v>
                </c:pt>
                <c:pt idx="11">
                  <c:v>34699</c:v>
                </c:pt>
                <c:pt idx="12">
                  <c:v>35064</c:v>
                </c:pt>
                <c:pt idx="13">
                  <c:v>35430</c:v>
                </c:pt>
                <c:pt idx="14">
                  <c:v>35795</c:v>
                </c:pt>
                <c:pt idx="15">
                  <c:v>36160</c:v>
                </c:pt>
                <c:pt idx="16">
                  <c:v>36525</c:v>
                </c:pt>
                <c:pt idx="17">
                  <c:v>36891</c:v>
                </c:pt>
                <c:pt idx="18">
                  <c:v>37256</c:v>
                </c:pt>
                <c:pt idx="19">
                  <c:v>37621</c:v>
                </c:pt>
                <c:pt idx="20">
                  <c:v>37986</c:v>
                </c:pt>
                <c:pt idx="21">
                  <c:v>38352</c:v>
                </c:pt>
                <c:pt idx="22">
                  <c:v>38717</c:v>
                </c:pt>
                <c:pt idx="23">
                  <c:v>39082</c:v>
                </c:pt>
                <c:pt idx="24">
                  <c:v>39447</c:v>
                </c:pt>
                <c:pt idx="25">
                  <c:v>39813</c:v>
                </c:pt>
                <c:pt idx="26">
                  <c:v>40178</c:v>
                </c:pt>
                <c:pt idx="27">
                  <c:v>40543</c:v>
                </c:pt>
                <c:pt idx="28">
                  <c:v>40908</c:v>
                </c:pt>
                <c:pt idx="29">
                  <c:v>41274</c:v>
                </c:pt>
                <c:pt idx="30">
                  <c:v>41639</c:v>
                </c:pt>
                <c:pt idx="31">
                  <c:v>42004</c:v>
                </c:pt>
                <c:pt idx="32">
                  <c:v>42369</c:v>
                </c:pt>
                <c:pt idx="33">
                  <c:v>42735</c:v>
                </c:pt>
                <c:pt idx="34">
                  <c:v>43100</c:v>
                </c:pt>
                <c:pt idx="35">
                  <c:v>43465</c:v>
                </c:pt>
                <c:pt idx="36">
                  <c:v>43830</c:v>
                </c:pt>
                <c:pt idx="37">
                  <c:v>44196</c:v>
                </c:pt>
                <c:pt idx="38">
                  <c:v>44561</c:v>
                </c:pt>
                <c:pt idx="39">
                  <c:v>44926</c:v>
                </c:pt>
                <c:pt idx="40">
                  <c:v>45291</c:v>
                </c:pt>
                <c:pt idx="41">
                  <c:v>45657</c:v>
                </c:pt>
                <c:pt idx="42">
                  <c:v>46022</c:v>
                </c:pt>
                <c:pt idx="43">
                  <c:v>46387</c:v>
                </c:pt>
                <c:pt idx="44">
                  <c:v>46752</c:v>
                </c:pt>
              </c:strCache>
            </c:strRef>
          </c:cat>
          <c:val>
            <c:numRef>
              <c:f>POP_EVO!$B$14:$B$58</c:f>
              <c:numCache>
                <c:ptCount val="45"/>
                <c:pt idx="0">
                  <c:v>84500</c:v>
                </c:pt>
                <c:pt idx="1">
                  <c:v>98400</c:v>
                </c:pt>
                <c:pt idx="2">
                  <c:v>119200</c:v>
                </c:pt>
                <c:pt idx="3">
                  <c:v>137400</c:v>
                </c:pt>
                <c:pt idx="4">
                  <c:v>166800</c:v>
                </c:pt>
                <c:pt idx="5">
                  <c:v>190196</c:v>
                </c:pt>
                <c:pt idx="6">
                  <c:v>194228</c:v>
                </c:pt>
                <c:pt idx="7">
                  <c:v>198428</c:v>
                </c:pt>
                <c:pt idx="8">
                  <c:v>202420</c:v>
                </c:pt>
                <c:pt idx="9">
                  <c:v>206283</c:v>
                </c:pt>
                <c:pt idx="10">
                  <c:v>210128</c:v>
                </c:pt>
                <c:pt idx="11">
                  <c:v>213768</c:v>
                </c:pt>
                <c:pt idx="12">
                  <c:v>217171</c:v>
                </c:pt>
                <c:pt idx="13">
                  <c:v>220853</c:v>
                </c:pt>
                <c:pt idx="14">
                  <c:v>224886</c:v>
                </c:pt>
                <c:pt idx="15">
                  <c:v>228752</c:v>
                </c:pt>
                <c:pt idx="16">
                  <c:v>232934</c:v>
                </c:pt>
                <c:pt idx="17">
                  <c:v>237233</c:v>
                </c:pt>
                <c:pt idx="18">
                  <c:v>241346</c:v>
                </c:pt>
                <c:pt idx="19">
                  <c:v>245304</c:v>
                </c:pt>
                <c:pt idx="20">
                  <c:v>248461</c:v>
                </c:pt>
                <c:pt idx="21">
                  <c:v>251540</c:v>
                </c:pt>
                <c:pt idx="22">
                  <c:v>254546</c:v>
                </c:pt>
                <c:pt idx="23">
                  <c:v>257765</c:v>
                </c:pt>
                <c:pt idx="24">
                  <c:v>260740</c:v>
                </c:pt>
              </c:numCache>
            </c:numRef>
          </c:val>
          <c:smooth val="0"/>
        </c:ser>
        <c:ser>
          <c:idx val="1"/>
          <c:order val="1"/>
          <c:tx>
            <c:v>Projection</c:v>
          </c:tx>
          <c:spPr>
            <a:ln w="381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333399"/>
                        </a:solidFill>
                        <a:latin typeface="Calibri"/>
                        <a:ea typeface="Calibri"/>
                        <a:cs typeface="Calibri"/>
                      </a:rPr>
                      <a:t>260 740 habitants 
</a:t>
                    </a:r>
                    <a:r>
                      <a:rPr lang="en-US" cap="none" sz="1400" b="1" i="0" u="none" baseline="0">
                        <a:solidFill>
                          <a:srgbClr val="333399"/>
                        </a:solidFill>
                        <a:latin typeface="Calibri"/>
                        <a:ea typeface="Calibri"/>
                        <a:cs typeface="Calibri"/>
                      </a:rPr>
                      <a:t>en 2007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333399"/>
                        </a:solidFill>
                        <a:latin typeface="Calibri"/>
                        <a:ea typeface="Calibri"/>
                        <a:cs typeface="Calibri"/>
                      </a:rPr>
                      <a:t>320 600  habitants
</a:t>
                    </a:r>
                    <a:r>
                      <a:rPr lang="en-US" cap="none" sz="1400" b="1" i="0" u="none" baseline="0">
                        <a:solidFill>
                          <a:srgbClr val="333399"/>
                        </a:solidFill>
                        <a:latin typeface="Calibri"/>
                        <a:ea typeface="Calibri"/>
                        <a:cs typeface="Calibri"/>
                      </a:rPr>
                      <a:t>en 2027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POP_EVO!$A$14:$A$58</c:f>
              <c:strCache>
                <c:ptCount val="45"/>
                <c:pt idx="0">
                  <c:v>22959</c:v>
                </c:pt>
                <c:pt idx="1">
                  <c:v>24473</c:v>
                </c:pt>
                <c:pt idx="2">
                  <c:v>25972</c:v>
                </c:pt>
                <c:pt idx="3">
                  <c:v>28244</c:v>
                </c:pt>
                <c:pt idx="4">
                  <c:v>30604</c:v>
                </c:pt>
                <c:pt idx="5">
                  <c:v>32508</c:v>
                </c:pt>
                <c:pt idx="6">
                  <c:v>32873</c:v>
                </c:pt>
                <c:pt idx="7">
                  <c:v>33238</c:v>
                </c:pt>
                <c:pt idx="8">
                  <c:v>33603</c:v>
                </c:pt>
                <c:pt idx="9">
                  <c:v>33969</c:v>
                </c:pt>
                <c:pt idx="10">
                  <c:v>34334</c:v>
                </c:pt>
                <c:pt idx="11">
                  <c:v>34699</c:v>
                </c:pt>
                <c:pt idx="12">
                  <c:v>35064</c:v>
                </c:pt>
                <c:pt idx="13">
                  <c:v>35430</c:v>
                </c:pt>
                <c:pt idx="14">
                  <c:v>35795</c:v>
                </c:pt>
                <c:pt idx="15">
                  <c:v>36160</c:v>
                </c:pt>
                <c:pt idx="16">
                  <c:v>36525</c:v>
                </c:pt>
                <c:pt idx="17">
                  <c:v>36891</c:v>
                </c:pt>
                <c:pt idx="18">
                  <c:v>37256</c:v>
                </c:pt>
                <c:pt idx="19">
                  <c:v>37621</c:v>
                </c:pt>
                <c:pt idx="20">
                  <c:v>37986</c:v>
                </c:pt>
                <c:pt idx="21">
                  <c:v>38352</c:v>
                </c:pt>
                <c:pt idx="22">
                  <c:v>38717</c:v>
                </c:pt>
                <c:pt idx="23">
                  <c:v>39082</c:v>
                </c:pt>
                <c:pt idx="24">
                  <c:v>39447</c:v>
                </c:pt>
                <c:pt idx="25">
                  <c:v>39813</c:v>
                </c:pt>
                <c:pt idx="26">
                  <c:v>40178</c:v>
                </c:pt>
                <c:pt idx="27">
                  <c:v>40543</c:v>
                </c:pt>
                <c:pt idx="28">
                  <c:v>40908</c:v>
                </c:pt>
                <c:pt idx="29">
                  <c:v>41274</c:v>
                </c:pt>
                <c:pt idx="30">
                  <c:v>41639</c:v>
                </c:pt>
                <c:pt idx="31">
                  <c:v>42004</c:v>
                </c:pt>
                <c:pt idx="32">
                  <c:v>42369</c:v>
                </c:pt>
                <c:pt idx="33">
                  <c:v>42735</c:v>
                </c:pt>
                <c:pt idx="34">
                  <c:v>43100</c:v>
                </c:pt>
                <c:pt idx="35">
                  <c:v>43465</c:v>
                </c:pt>
                <c:pt idx="36">
                  <c:v>43830</c:v>
                </c:pt>
                <c:pt idx="37">
                  <c:v>44196</c:v>
                </c:pt>
                <c:pt idx="38">
                  <c:v>44561</c:v>
                </c:pt>
                <c:pt idx="39">
                  <c:v>44926</c:v>
                </c:pt>
                <c:pt idx="40">
                  <c:v>45291</c:v>
                </c:pt>
                <c:pt idx="41">
                  <c:v>45657</c:v>
                </c:pt>
                <c:pt idx="42">
                  <c:v>46022</c:v>
                </c:pt>
                <c:pt idx="43">
                  <c:v>46387</c:v>
                </c:pt>
                <c:pt idx="44">
                  <c:v>46752</c:v>
                </c:pt>
              </c:strCache>
            </c:strRef>
          </c:cat>
          <c:val>
            <c:numRef>
              <c:f>POP_EVO!$C$14:$C$58</c:f>
              <c:numCache>
                <c:ptCount val="45"/>
                <c:pt idx="24">
                  <c:v>260740</c:v>
                </c:pt>
                <c:pt idx="25">
                  <c:v>263885</c:v>
                </c:pt>
                <c:pt idx="26">
                  <c:v>267067</c:v>
                </c:pt>
                <c:pt idx="27">
                  <c:v>270259</c:v>
                </c:pt>
                <c:pt idx="28">
                  <c:v>273455</c:v>
                </c:pt>
                <c:pt idx="29">
                  <c:v>276649</c:v>
                </c:pt>
                <c:pt idx="30">
                  <c:v>279838</c:v>
                </c:pt>
                <c:pt idx="31">
                  <c:v>283018</c:v>
                </c:pt>
                <c:pt idx="32">
                  <c:v>286181</c:v>
                </c:pt>
                <c:pt idx="33">
                  <c:v>289324</c:v>
                </c:pt>
                <c:pt idx="34">
                  <c:v>292416</c:v>
                </c:pt>
                <c:pt idx="35">
                  <c:v>295471</c:v>
                </c:pt>
                <c:pt idx="36">
                  <c:v>298488</c:v>
                </c:pt>
                <c:pt idx="37">
                  <c:v>301460</c:v>
                </c:pt>
                <c:pt idx="38">
                  <c:v>304385</c:v>
                </c:pt>
                <c:pt idx="39">
                  <c:v>307254</c:v>
                </c:pt>
                <c:pt idx="40">
                  <c:v>310060</c:v>
                </c:pt>
                <c:pt idx="41">
                  <c:v>312799</c:v>
                </c:pt>
                <c:pt idx="42">
                  <c:v>315470</c:v>
                </c:pt>
                <c:pt idx="43">
                  <c:v>318071</c:v>
                </c:pt>
                <c:pt idx="44">
                  <c:v>320605</c:v>
                </c:pt>
              </c:numCache>
            </c:numRef>
          </c:val>
          <c:smooth val="0"/>
        </c:ser>
        <c:marker val="1"/>
        <c:axId val="41248182"/>
        <c:axId val="35689319"/>
      </c:lineChart>
      <c:lineChart>
        <c:grouping val="standard"/>
        <c:varyColors val="0"/>
        <c:ser>
          <c:idx val="2"/>
          <c:order val="2"/>
          <c:tx>
            <c:v>Taux de croissance annuelle de la population (%)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4,8 %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1,15 % 
</a:t>
                    </a: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en 2007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0,8 % 
</a:t>
                    </a: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en 2027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POP_EVO!$A$14:$A$58</c:f>
              <c:strCache>
                <c:ptCount val="45"/>
                <c:pt idx="0">
                  <c:v>22959</c:v>
                </c:pt>
                <c:pt idx="1">
                  <c:v>24473</c:v>
                </c:pt>
                <c:pt idx="2">
                  <c:v>25972</c:v>
                </c:pt>
                <c:pt idx="3">
                  <c:v>28244</c:v>
                </c:pt>
                <c:pt idx="4">
                  <c:v>30604</c:v>
                </c:pt>
                <c:pt idx="5">
                  <c:v>32508</c:v>
                </c:pt>
                <c:pt idx="6">
                  <c:v>32873</c:v>
                </c:pt>
                <c:pt idx="7">
                  <c:v>33238</c:v>
                </c:pt>
                <c:pt idx="8">
                  <c:v>33603</c:v>
                </c:pt>
                <c:pt idx="9">
                  <c:v>33969</c:v>
                </c:pt>
                <c:pt idx="10">
                  <c:v>34334</c:v>
                </c:pt>
                <c:pt idx="11">
                  <c:v>34699</c:v>
                </c:pt>
                <c:pt idx="12">
                  <c:v>35064</c:v>
                </c:pt>
                <c:pt idx="13">
                  <c:v>35430</c:v>
                </c:pt>
                <c:pt idx="14">
                  <c:v>35795</c:v>
                </c:pt>
                <c:pt idx="15">
                  <c:v>36160</c:v>
                </c:pt>
                <c:pt idx="16">
                  <c:v>36525</c:v>
                </c:pt>
                <c:pt idx="17">
                  <c:v>36891</c:v>
                </c:pt>
                <c:pt idx="18">
                  <c:v>37256</c:v>
                </c:pt>
                <c:pt idx="19">
                  <c:v>37621</c:v>
                </c:pt>
                <c:pt idx="20">
                  <c:v>37986</c:v>
                </c:pt>
                <c:pt idx="21">
                  <c:v>38352</c:v>
                </c:pt>
                <c:pt idx="22">
                  <c:v>38717</c:v>
                </c:pt>
                <c:pt idx="23">
                  <c:v>39082</c:v>
                </c:pt>
                <c:pt idx="24">
                  <c:v>39447</c:v>
                </c:pt>
                <c:pt idx="25">
                  <c:v>39813</c:v>
                </c:pt>
                <c:pt idx="26">
                  <c:v>40178</c:v>
                </c:pt>
                <c:pt idx="27">
                  <c:v>40543</c:v>
                </c:pt>
                <c:pt idx="28">
                  <c:v>40908</c:v>
                </c:pt>
                <c:pt idx="29">
                  <c:v>41274</c:v>
                </c:pt>
                <c:pt idx="30">
                  <c:v>41639</c:v>
                </c:pt>
                <c:pt idx="31">
                  <c:v>42004</c:v>
                </c:pt>
                <c:pt idx="32">
                  <c:v>42369</c:v>
                </c:pt>
                <c:pt idx="33">
                  <c:v>42735</c:v>
                </c:pt>
                <c:pt idx="34">
                  <c:v>43100</c:v>
                </c:pt>
                <c:pt idx="35">
                  <c:v>43465</c:v>
                </c:pt>
                <c:pt idx="36">
                  <c:v>43830</c:v>
                </c:pt>
                <c:pt idx="37">
                  <c:v>44196</c:v>
                </c:pt>
                <c:pt idx="38">
                  <c:v>44561</c:v>
                </c:pt>
                <c:pt idx="39">
                  <c:v>44926</c:v>
                </c:pt>
                <c:pt idx="40">
                  <c:v>45291</c:v>
                </c:pt>
                <c:pt idx="41">
                  <c:v>45657</c:v>
                </c:pt>
                <c:pt idx="42">
                  <c:v>46022</c:v>
                </c:pt>
                <c:pt idx="43">
                  <c:v>46387</c:v>
                </c:pt>
                <c:pt idx="44">
                  <c:v>46752</c:v>
                </c:pt>
              </c:strCache>
            </c:strRef>
          </c:cat>
          <c:val>
            <c:numRef>
              <c:f>POP_EVO!$F$14:$F$58</c:f>
              <c:numCache>
                <c:ptCount val="45"/>
                <c:pt idx="0">
                  <c:v>1.74</c:v>
                </c:pt>
                <c:pt idx="1">
                  <c:v>3.74</c:v>
                </c:pt>
                <c:pt idx="2">
                  <c:v>4.78</c:v>
                </c:pt>
                <c:pt idx="3">
                  <c:v>2.31</c:v>
                </c:pt>
                <c:pt idx="4">
                  <c:v>3.04</c:v>
                </c:pt>
                <c:pt idx="5">
                  <c:v>2.55</c:v>
                </c:pt>
                <c:pt idx="6">
                  <c:v>2.12</c:v>
                </c:pt>
                <c:pt idx="7">
                  <c:v>2.16</c:v>
                </c:pt>
                <c:pt idx="8">
                  <c:v>2.01</c:v>
                </c:pt>
                <c:pt idx="9">
                  <c:v>1.91</c:v>
                </c:pt>
                <c:pt idx="10">
                  <c:v>1.86</c:v>
                </c:pt>
                <c:pt idx="11">
                  <c:v>1.73</c:v>
                </c:pt>
                <c:pt idx="12">
                  <c:v>1.59</c:v>
                </c:pt>
                <c:pt idx="13">
                  <c:v>1.7</c:v>
                </c:pt>
                <c:pt idx="14">
                  <c:v>1.83</c:v>
                </c:pt>
                <c:pt idx="15">
                  <c:v>1.72</c:v>
                </c:pt>
                <c:pt idx="16">
                  <c:v>1.83</c:v>
                </c:pt>
                <c:pt idx="17">
                  <c:v>1.85</c:v>
                </c:pt>
                <c:pt idx="18">
                  <c:v>1.73</c:v>
                </c:pt>
                <c:pt idx="19">
                  <c:v>1.64</c:v>
                </c:pt>
                <c:pt idx="20">
                  <c:v>1.29</c:v>
                </c:pt>
                <c:pt idx="21">
                  <c:v>1.24</c:v>
                </c:pt>
                <c:pt idx="22">
                  <c:v>1.2</c:v>
                </c:pt>
                <c:pt idx="23">
                  <c:v>1.26</c:v>
                </c:pt>
                <c:pt idx="24">
                  <c:v>1.15</c:v>
                </c:pt>
                <c:pt idx="25">
                  <c:v>1.21</c:v>
                </c:pt>
                <c:pt idx="26">
                  <c:v>1.21</c:v>
                </c:pt>
                <c:pt idx="27">
                  <c:v>1.2</c:v>
                </c:pt>
                <c:pt idx="28">
                  <c:v>1.18</c:v>
                </c:pt>
                <c:pt idx="29">
                  <c:v>1.17</c:v>
                </c:pt>
                <c:pt idx="30">
                  <c:v>1.15</c:v>
                </c:pt>
                <c:pt idx="31">
                  <c:v>1.14</c:v>
                </c:pt>
                <c:pt idx="32">
                  <c:v>1.12</c:v>
                </c:pt>
                <c:pt idx="33">
                  <c:v>1.1</c:v>
                </c:pt>
                <c:pt idx="34">
                  <c:v>1.07</c:v>
                </c:pt>
                <c:pt idx="35">
                  <c:v>1.04</c:v>
                </c:pt>
                <c:pt idx="36">
                  <c:v>1.02</c:v>
                </c:pt>
                <c:pt idx="37">
                  <c:v>1</c:v>
                </c:pt>
                <c:pt idx="38">
                  <c:v>0.97</c:v>
                </c:pt>
                <c:pt idx="39">
                  <c:v>0.94</c:v>
                </c:pt>
                <c:pt idx="40">
                  <c:v>0.91</c:v>
                </c:pt>
                <c:pt idx="41">
                  <c:v>0.88</c:v>
                </c:pt>
                <c:pt idx="42">
                  <c:v>0.85</c:v>
                </c:pt>
                <c:pt idx="43">
                  <c:v>0.82</c:v>
                </c:pt>
                <c:pt idx="44">
                  <c:v>0.8</c:v>
                </c:pt>
              </c:numCache>
            </c:numRef>
          </c:val>
          <c:smooth val="0"/>
        </c:ser>
        <c:marker val="1"/>
        <c:axId val="52768416"/>
        <c:axId val="5153697"/>
      </c:lineChart>
      <c:dateAx>
        <c:axId val="41248182"/>
        <c:scaling>
          <c:orientation val="minMax"/>
          <c:max val="46388"/>
          <c:min val="22647"/>
        </c:scaling>
        <c:axPos val="b"/>
        <c:delete val="0"/>
        <c:numFmt formatCode="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89319"/>
        <c:crosses val="autoZero"/>
        <c:auto val="0"/>
        <c:baseTimeUnit val="years"/>
        <c:majorUnit val="3"/>
        <c:majorTimeUnit val="years"/>
        <c:minorUnit val="1"/>
        <c:minorTimeUnit val="years"/>
        <c:noMultiLvlLbl val="0"/>
      </c:dateAx>
      <c:valAx>
        <c:axId val="35689319"/>
        <c:scaling>
          <c:orientation val="minMax"/>
          <c:max val="340000"/>
          <c:min val="800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Nombre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d'habitants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  <c:crossAx val="41248182"/>
        <c:crossesAt val="1"/>
        <c:crossBetween val="between"/>
        <c:dispUnits/>
        <c:majorUnit val="20000"/>
      </c:valAx>
      <c:dateAx>
        <c:axId val="52768416"/>
        <c:scaling>
          <c:orientation val="minMax"/>
        </c:scaling>
        <c:axPos val="b"/>
        <c:delete val="1"/>
        <c:majorTickMark val="out"/>
        <c:minorTickMark val="none"/>
        <c:tickLblPos val="nextTo"/>
        <c:crossAx val="5153697"/>
        <c:crosses val="autoZero"/>
        <c:auto val="0"/>
        <c:baseTimeUnit val="years"/>
        <c:majorUnit val="1"/>
        <c:majorTimeUnit val="days"/>
        <c:minorUnit val="1"/>
        <c:minorTimeUnit val="days"/>
        <c:noMultiLvlLbl val="0"/>
      </c:dateAx>
      <c:valAx>
        <c:axId val="5153697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Taux de croissance
</a:t>
                </a:r>
                <a:r>
                  <a:rPr lang="en-US" cap="none" sz="12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 annuelle  (%)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6841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2815"/>
          <c:y val="0.09725"/>
          <c:w val="0.376"/>
          <c:h val="0.1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de personnes par logement</a:t>
            </a:r>
          </a:p>
        </c:rich>
      </c:tx>
      <c:layout>
        <c:manualLayout>
          <c:xMode val="factor"/>
          <c:yMode val="factor"/>
          <c:x val="0.0365"/>
          <c:y val="-0.048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.99775"/>
          <c:h val="1.03525"/>
        </c:manualLayout>
      </c:layout>
      <c:lineChart>
        <c:grouping val="standard"/>
        <c:varyColors val="0"/>
        <c:ser>
          <c:idx val="1"/>
          <c:order val="0"/>
          <c:tx>
            <c:strRef>
              <c:f>LOG_RP!$D$2</c:f>
              <c:strCache>
                <c:ptCount val="1"/>
                <c:pt idx="0">
                  <c:v>Nombre de personnes par logement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dPt>
            <c:idx val="6"/>
            <c:spPr>
              <a:solidFill>
                <a:srgbClr val="E46C0A"/>
              </a:solidFill>
              <a:ln w="38100">
                <a:solidFill>
                  <a:srgbClr val="FF6600"/>
                </a:solidFill>
                <a:prstDash val="sysDot"/>
              </a:ln>
            </c:spPr>
            <c:marker>
              <c:size val="7"/>
              <c:spPr>
                <a:solidFill>
                  <a:srgbClr val="FF6600"/>
                </a:solidFill>
                <a:ln>
                  <a:solidFill>
                    <a:srgbClr val="993366"/>
                  </a:solidFill>
                </a:ln>
              </c:spPr>
            </c:marke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LOG_RP!$A$3:$A$9</c:f>
              <c:strCache>
                <c:ptCount val="7"/>
                <c:pt idx="0">
                  <c:v>28244</c:v>
                </c:pt>
                <c:pt idx="1">
                  <c:v>30604</c:v>
                </c:pt>
                <c:pt idx="2">
                  <c:v>32392</c:v>
                </c:pt>
                <c:pt idx="3">
                  <c:v>35311</c:v>
                </c:pt>
                <c:pt idx="4">
                  <c:v>37567</c:v>
                </c:pt>
                <c:pt idx="5">
                  <c:v>39447</c:v>
                </c:pt>
                <c:pt idx="6">
                  <c:v>46388</c:v>
                </c:pt>
              </c:strCache>
            </c:strRef>
          </c:cat>
          <c:val>
            <c:numRef>
              <c:f>LOG_RP!$D$3:$D$9</c:f>
              <c:numCache>
                <c:ptCount val="7"/>
                <c:pt idx="0">
                  <c:v>5.2</c:v>
                </c:pt>
                <c:pt idx="1">
                  <c:v>5</c:v>
                </c:pt>
                <c:pt idx="2">
                  <c:v>4.7</c:v>
                </c:pt>
                <c:pt idx="3">
                  <c:v>4.3</c:v>
                </c:pt>
                <c:pt idx="4">
                  <c:v>4</c:v>
                </c:pt>
                <c:pt idx="5">
                  <c:v>3.8</c:v>
                </c:pt>
                <c:pt idx="6">
                  <c:v>3</c:v>
                </c:pt>
              </c:numCache>
            </c:numRef>
          </c:val>
          <c:smooth val="0"/>
        </c:ser>
        <c:marker val="1"/>
        <c:axId val="66057684"/>
        <c:axId val="57648245"/>
      </c:lineChart>
      <c:dateAx>
        <c:axId val="660576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7648245"/>
        <c:crosses val="autoZero"/>
        <c:auto val="0"/>
        <c:baseTimeUnit val="years"/>
        <c:majorUnit val="10"/>
        <c:majorTimeUnit val="years"/>
        <c:minorUnit val="1"/>
        <c:minorTimeUnit val="years"/>
        <c:noMultiLvlLbl val="0"/>
      </c:dateAx>
      <c:valAx>
        <c:axId val="57648245"/>
        <c:scaling>
          <c:orientation val="minMax"/>
          <c:max val="5.5"/>
          <c:min val="2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7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9FECE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525"/>
          <c:w val="0.97175"/>
          <c:h val="0.9755"/>
        </c:manualLayout>
      </c:layout>
      <c:lineChart>
        <c:grouping val="standard"/>
        <c:varyColors val="0"/>
        <c:ser>
          <c:idx val="1"/>
          <c:order val="0"/>
          <c:tx>
            <c:strRef>
              <c:f>LOG_RP!$C$2</c:f>
              <c:strCache>
                <c:ptCount val="1"/>
                <c:pt idx="0">
                  <c:v>Nombre de personnes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3366"/>
              </a:solidFill>
              <a:ln>
                <a:solidFill>
                  <a:srgbClr val="993366"/>
                </a:solidFill>
              </a:ln>
            </c:spPr>
          </c:marker>
          <c:dPt>
            <c:idx val="6"/>
            <c:spPr>
              <a:solidFill>
                <a:srgbClr val="17375E"/>
              </a:solidFill>
              <a:ln w="38100">
                <a:solidFill>
                  <a:srgbClr val="003366"/>
                </a:solidFill>
                <a:prstDash val="sysDot"/>
              </a:ln>
            </c:spPr>
            <c:marker>
              <c:size val="7"/>
              <c:spPr>
                <a:solidFill>
                  <a:srgbClr val="003366"/>
                </a:solidFill>
                <a:ln>
                  <a:solidFill>
                    <a:srgbClr val="993366"/>
                  </a:solidFill>
                </a:ln>
              </c:spPr>
            </c:marke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LOG_RP!$A$3:$A$9</c:f>
              <c:strCache>
                <c:ptCount val="7"/>
                <c:pt idx="0">
                  <c:v>28244</c:v>
                </c:pt>
                <c:pt idx="1">
                  <c:v>30604</c:v>
                </c:pt>
                <c:pt idx="2">
                  <c:v>32392</c:v>
                </c:pt>
                <c:pt idx="3">
                  <c:v>35311</c:v>
                </c:pt>
                <c:pt idx="4">
                  <c:v>37567</c:v>
                </c:pt>
                <c:pt idx="5">
                  <c:v>39447</c:v>
                </c:pt>
                <c:pt idx="6">
                  <c:v>46388</c:v>
                </c:pt>
              </c:strCache>
            </c:strRef>
          </c:cat>
          <c:val>
            <c:numRef>
              <c:f>LOG_RP!$C$3:$C$9</c:f>
              <c:numCache>
                <c:ptCount val="7"/>
                <c:pt idx="0">
                  <c:v>133357</c:v>
                </c:pt>
                <c:pt idx="1">
                  <c:v>161477</c:v>
                </c:pt>
                <c:pt idx="2">
                  <c:v>184787</c:v>
                </c:pt>
                <c:pt idx="3">
                  <c:v>215396</c:v>
                </c:pt>
                <c:pt idx="4">
                  <c:v>242498</c:v>
                </c:pt>
                <c:pt idx="5">
                  <c:v>256000</c:v>
                </c:pt>
                <c:pt idx="6">
                  <c:v>316000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LOG_RP!$B$2</c:f>
              <c:strCache>
                <c:ptCount val="1"/>
                <c:pt idx="0">
                  <c:v>Nombre de logements
En pointillé, hypothèse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dPt>
            <c:idx val="6"/>
            <c:spPr>
              <a:ln w="38100">
                <a:solidFill>
                  <a:srgbClr val="FF0000"/>
                </a:solidFill>
                <a:prstDash val="sysDot"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 67 000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 105 000  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LOG_RP!$A$3:$A$9</c:f>
              <c:strCache>
                <c:ptCount val="7"/>
                <c:pt idx="0">
                  <c:v>28244</c:v>
                </c:pt>
                <c:pt idx="1">
                  <c:v>30604</c:v>
                </c:pt>
                <c:pt idx="2">
                  <c:v>32392</c:v>
                </c:pt>
                <c:pt idx="3">
                  <c:v>35311</c:v>
                </c:pt>
                <c:pt idx="4">
                  <c:v>37567</c:v>
                </c:pt>
                <c:pt idx="5">
                  <c:v>39447</c:v>
                </c:pt>
                <c:pt idx="6">
                  <c:v>46388</c:v>
                </c:pt>
              </c:strCache>
            </c:strRef>
          </c:cat>
          <c:val>
            <c:numRef>
              <c:f>LOG_RP!$B$3:$B$9</c:f>
              <c:numCache>
                <c:ptCount val="7"/>
                <c:pt idx="0">
                  <c:v>25589</c:v>
                </c:pt>
                <c:pt idx="1">
                  <c:v>32140</c:v>
                </c:pt>
                <c:pt idx="2">
                  <c:v>39513</c:v>
                </c:pt>
                <c:pt idx="3">
                  <c:v>49574</c:v>
                </c:pt>
                <c:pt idx="4">
                  <c:v>60541</c:v>
                </c:pt>
                <c:pt idx="5">
                  <c:v>67368.42105263159</c:v>
                </c:pt>
                <c:pt idx="6">
                  <c:v>105333.33333333333</c:v>
                </c:pt>
              </c:numCache>
            </c:numRef>
          </c:val>
          <c:smooth val="0"/>
        </c:ser>
        <c:marker val="1"/>
        <c:axId val="46383274"/>
        <c:axId val="14796283"/>
      </c:lineChart>
      <c:dateAx>
        <c:axId val="463832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796283"/>
        <c:crosses val="autoZero"/>
        <c:auto val="0"/>
        <c:baseTimeUnit val="years"/>
        <c:majorUnit val="10"/>
        <c:majorTimeUnit val="years"/>
        <c:minorUnit val="1"/>
        <c:minorTimeUnit val="years"/>
        <c:noMultiLvlLbl val="0"/>
      </c:dateAx>
      <c:valAx>
        <c:axId val="14796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383274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677"/>
          <c:y val="0.3455"/>
          <c:w val="0.2855"/>
          <c:h val="0.1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15"/>
          <c:w val="0.982"/>
          <c:h val="0.973"/>
        </c:manualLayout>
      </c:layout>
      <c:barChart>
        <c:barDir val="bar"/>
        <c:grouping val="clustered"/>
        <c:varyColors val="0"/>
        <c:ser>
          <c:idx val="3"/>
          <c:order val="1"/>
          <c:tx>
            <c:v>2027 Femmes</c:v>
          </c:tx>
          <c:spPr>
            <a:solidFill>
              <a:srgbClr val="D7E4BD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PYRAMIDE!$B$5:$B$21</c:f>
              <c:strCache>
                <c:ptCount val="17"/>
                <c:pt idx="0">
                  <c:v>Moins de 5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PYRAMIDE!$E$5:$E$21</c:f>
              <c:numCache>
                <c:ptCount val="17"/>
                <c:pt idx="0">
                  <c:v>10602</c:v>
                </c:pt>
                <c:pt idx="1">
                  <c:v>10954</c:v>
                </c:pt>
                <c:pt idx="2">
                  <c:v>11054</c:v>
                </c:pt>
                <c:pt idx="3">
                  <c:v>10839</c:v>
                </c:pt>
                <c:pt idx="4">
                  <c:v>10525</c:v>
                </c:pt>
                <c:pt idx="5">
                  <c:v>11411</c:v>
                </c:pt>
                <c:pt idx="6">
                  <c:v>11541</c:v>
                </c:pt>
                <c:pt idx="7">
                  <c:v>12655</c:v>
                </c:pt>
                <c:pt idx="8">
                  <c:v>11503</c:v>
                </c:pt>
                <c:pt idx="9">
                  <c:v>9259</c:v>
                </c:pt>
                <c:pt idx="10">
                  <c:v>9773</c:v>
                </c:pt>
                <c:pt idx="11">
                  <c:v>9783</c:v>
                </c:pt>
                <c:pt idx="12">
                  <c:v>9052</c:v>
                </c:pt>
                <c:pt idx="13">
                  <c:v>6819</c:v>
                </c:pt>
                <c:pt idx="14">
                  <c:v>5278</c:v>
                </c:pt>
                <c:pt idx="15">
                  <c:v>3496</c:v>
                </c:pt>
                <c:pt idx="16">
                  <c:v>3582</c:v>
                </c:pt>
              </c:numCache>
            </c:numRef>
          </c:val>
        </c:ser>
        <c:ser>
          <c:idx val="2"/>
          <c:order val="3"/>
          <c:tx>
            <c:v>2027</c:v>
          </c:tx>
          <c:spPr>
            <a:solidFill>
              <a:srgbClr val="77933C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PYRAMIDE!$B$5:$B$21</c:f>
              <c:strCache>
                <c:ptCount val="17"/>
                <c:pt idx="0">
                  <c:v>Moins de 5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PYRAMIDE!$D$5:$D$21</c:f>
              <c:numCache>
                <c:ptCount val="17"/>
                <c:pt idx="0">
                  <c:v>-11156</c:v>
                </c:pt>
                <c:pt idx="1">
                  <c:v>-11560</c:v>
                </c:pt>
                <c:pt idx="2">
                  <c:v>-11697</c:v>
                </c:pt>
                <c:pt idx="3">
                  <c:v>-11484</c:v>
                </c:pt>
                <c:pt idx="4">
                  <c:v>-11141</c:v>
                </c:pt>
                <c:pt idx="5">
                  <c:v>-11836</c:v>
                </c:pt>
                <c:pt idx="6">
                  <c:v>-12241</c:v>
                </c:pt>
                <c:pt idx="7">
                  <c:v>-13507</c:v>
                </c:pt>
                <c:pt idx="8">
                  <c:v>-11312</c:v>
                </c:pt>
                <c:pt idx="9">
                  <c:v>-9601</c:v>
                </c:pt>
                <c:pt idx="10">
                  <c:v>-9991</c:v>
                </c:pt>
                <c:pt idx="11">
                  <c:v>-10303</c:v>
                </c:pt>
                <c:pt idx="12">
                  <c:v>-9256</c:v>
                </c:pt>
                <c:pt idx="13">
                  <c:v>-6826</c:v>
                </c:pt>
                <c:pt idx="14">
                  <c:v>-5071</c:v>
                </c:pt>
                <c:pt idx="15">
                  <c:v>-2938</c:v>
                </c:pt>
                <c:pt idx="16">
                  <c:v>-2559</c:v>
                </c:pt>
              </c:numCache>
            </c:numRef>
          </c:val>
        </c:ser>
        <c:overlap val="100"/>
        <c:gapWidth val="0"/>
        <c:axId val="49072158"/>
        <c:axId val="38996239"/>
      </c:barChart>
      <c:scatterChart>
        <c:scatterStyle val="lineMarker"/>
        <c:varyColors val="0"/>
        <c:ser>
          <c:idx val="1"/>
          <c:order val="0"/>
          <c:tx>
            <c:v>2007 Femmes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PYRAMIDE!$H$5:$H$21</c:f>
              <c:numCache>
                <c:ptCount val="17"/>
                <c:pt idx="0">
                  <c:v>10557</c:v>
                </c:pt>
                <c:pt idx="1">
                  <c:v>11433</c:v>
                </c:pt>
                <c:pt idx="2">
                  <c:v>11572</c:v>
                </c:pt>
                <c:pt idx="3">
                  <c:v>12708</c:v>
                </c:pt>
                <c:pt idx="4">
                  <c:v>11580</c:v>
                </c:pt>
                <c:pt idx="5">
                  <c:v>9369</c:v>
                </c:pt>
                <c:pt idx="6">
                  <c:v>9984</c:v>
                </c:pt>
                <c:pt idx="7">
                  <c:v>10158</c:v>
                </c:pt>
                <c:pt idx="8">
                  <c:v>9648</c:v>
                </c:pt>
                <c:pt idx="9">
                  <c:v>7612</c:v>
                </c:pt>
                <c:pt idx="10">
                  <c:v>6454</c:v>
                </c:pt>
                <c:pt idx="11">
                  <c:v>4799</c:v>
                </c:pt>
                <c:pt idx="12">
                  <c:v>3700</c:v>
                </c:pt>
                <c:pt idx="13">
                  <c:v>2868</c:v>
                </c:pt>
                <c:pt idx="14">
                  <c:v>2076</c:v>
                </c:pt>
                <c:pt idx="15">
                  <c:v>1343</c:v>
                </c:pt>
                <c:pt idx="16">
                  <c:v>1253</c:v>
                </c:pt>
              </c:numCache>
            </c:numRef>
          </c:xVal>
          <c:yVal>
            <c:numRef>
              <c:f>PYRAMIDE!$A$5:$A$21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ser>
          <c:idx val="0"/>
          <c:order val="2"/>
          <c:tx>
            <c:v>2007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PYRAMIDE!$G$5:$G$21</c:f>
              <c:numCache>
                <c:ptCount val="17"/>
                <c:pt idx="0">
                  <c:v>-11193</c:v>
                </c:pt>
                <c:pt idx="1">
                  <c:v>-11890</c:v>
                </c:pt>
                <c:pt idx="2">
                  <c:v>-12317</c:v>
                </c:pt>
                <c:pt idx="3">
                  <c:v>-13621</c:v>
                </c:pt>
                <c:pt idx="4">
                  <c:v>-11444</c:v>
                </c:pt>
                <c:pt idx="5">
                  <c:v>-9779</c:v>
                </c:pt>
                <c:pt idx="6">
                  <c:v>-10325</c:v>
                </c:pt>
                <c:pt idx="7">
                  <c:v>-10946</c:v>
                </c:pt>
                <c:pt idx="8">
                  <c:v>-10338</c:v>
                </c:pt>
                <c:pt idx="9">
                  <c:v>-8341</c:v>
                </c:pt>
                <c:pt idx="10">
                  <c:v>-7173</c:v>
                </c:pt>
                <c:pt idx="11">
                  <c:v>-5109</c:v>
                </c:pt>
                <c:pt idx="12">
                  <c:v>-4040</c:v>
                </c:pt>
                <c:pt idx="13">
                  <c:v>-3055</c:v>
                </c:pt>
                <c:pt idx="14">
                  <c:v>-2060</c:v>
                </c:pt>
                <c:pt idx="15">
                  <c:v>-1179</c:v>
                </c:pt>
                <c:pt idx="16">
                  <c:v>-816</c:v>
                </c:pt>
              </c:numCache>
            </c:numRef>
          </c:xVal>
          <c:yVal>
            <c:numRef>
              <c:f>PYRAMIDE!$A$5:$A$21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ser>
          <c:idx val="4"/>
          <c:order val="4"/>
          <c:tx>
            <c:v>1988 femmes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PYRAMIDE!$K$5:$K$21</c:f>
              <c:numCache>
                <c:ptCount val="17"/>
                <c:pt idx="0">
                  <c:v>11677</c:v>
                </c:pt>
                <c:pt idx="1">
                  <c:v>10806</c:v>
                </c:pt>
                <c:pt idx="2">
                  <c:v>10006</c:v>
                </c:pt>
                <c:pt idx="3">
                  <c:v>9914</c:v>
                </c:pt>
                <c:pt idx="4">
                  <c:v>9133</c:v>
                </c:pt>
                <c:pt idx="5">
                  <c:v>7879.000000000001</c:v>
                </c:pt>
                <c:pt idx="6">
                  <c:v>6876</c:v>
                </c:pt>
                <c:pt idx="7">
                  <c:v>5524</c:v>
                </c:pt>
                <c:pt idx="8">
                  <c:v>4432</c:v>
                </c:pt>
                <c:pt idx="9">
                  <c:v>3766.0000000000005</c:v>
                </c:pt>
                <c:pt idx="10">
                  <c:v>3062</c:v>
                </c:pt>
                <c:pt idx="11">
                  <c:v>2401</c:v>
                </c:pt>
                <c:pt idx="12">
                  <c:v>1829.9999999999998</c:v>
                </c:pt>
                <c:pt idx="13">
                  <c:v>1205</c:v>
                </c:pt>
                <c:pt idx="14">
                  <c:v>926</c:v>
                </c:pt>
                <c:pt idx="15">
                  <c:v>580</c:v>
                </c:pt>
                <c:pt idx="16">
                  <c:v>452</c:v>
                </c:pt>
              </c:numCache>
            </c:numRef>
          </c:xVal>
          <c:yVal>
            <c:numRef>
              <c:f>PYRAMIDE!$A$5:$A$21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ser>
          <c:idx val="5"/>
          <c:order val="5"/>
          <c:tx>
            <c:v>1988</c:v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PYRAMIDE!$J$5:$J$21</c:f>
              <c:numCache>
                <c:ptCount val="17"/>
                <c:pt idx="0">
                  <c:v>-12219.000000000002</c:v>
                </c:pt>
                <c:pt idx="1">
                  <c:v>-11376</c:v>
                </c:pt>
                <c:pt idx="2">
                  <c:v>-10526</c:v>
                </c:pt>
                <c:pt idx="3">
                  <c:v>-10504</c:v>
                </c:pt>
                <c:pt idx="4">
                  <c:v>-10176</c:v>
                </c:pt>
                <c:pt idx="5">
                  <c:v>-8735</c:v>
                </c:pt>
                <c:pt idx="6">
                  <c:v>-7684</c:v>
                </c:pt>
                <c:pt idx="7">
                  <c:v>-6175</c:v>
                </c:pt>
                <c:pt idx="8">
                  <c:v>-5249</c:v>
                </c:pt>
                <c:pt idx="9">
                  <c:v>-4440</c:v>
                </c:pt>
                <c:pt idx="10">
                  <c:v>-3598</c:v>
                </c:pt>
                <c:pt idx="11">
                  <c:v>-2812</c:v>
                </c:pt>
                <c:pt idx="12">
                  <c:v>-1992</c:v>
                </c:pt>
                <c:pt idx="13">
                  <c:v>-1201</c:v>
                </c:pt>
                <c:pt idx="14">
                  <c:v>-834</c:v>
                </c:pt>
                <c:pt idx="15">
                  <c:v>-534</c:v>
                </c:pt>
                <c:pt idx="16">
                  <c:v>-290</c:v>
                </c:pt>
              </c:numCache>
            </c:numRef>
          </c:xVal>
          <c:yVal>
            <c:numRef>
              <c:f>PYRAMIDE!$A$5:$A$21</c:f>
              <c:numCache>
                <c:ptCount val="1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yVal>
          <c:smooth val="0"/>
        </c:ser>
        <c:axId val="15421832"/>
        <c:axId val="4578761"/>
      </c:scatterChart>
      <c:catAx>
        <c:axId val="15421832"/>
        <c:scaling>
          <c:orientation val="minMax"/>
          <c:max val="15000"/>
          <c:min val="-1500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#,##0" sourceLinked="0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4578761"/>
        <c:crosses val="autoZero"/>
        <c:auto val="1"/>
        <c:lblOffset val="100"/>
        <c:noMultiLvlLbl val="0"/>
      </c:catAx>
      <c:valAx>
        <c:axId val="4578761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5421832"/>
        <c:crosses val="autoZero"/>
        <c:crossBetween val="between"/>
        <c:dispUnits/>
      </c:valAx>
      <c:catAx>
        <c:axId val="490721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8996239"/>
        <c:crosses val="max"/>
        <c:auto val="1"/>
        <c:lblOffset val="100"/>
        <c:tickLblSkip val="1"/>
        <c:noMultiLvlLbl val="0"/>
      </c:catAx>
      <c:valAx>
        <c:axId val="38996239"/>
        <c:scaling>
          <c:orientation val="minMax"/>
        </c:scaling>
        <c:axPos val="b"/>
        <c:delete val="1"/>
        <c:majorTickMark val="out"/>
        <c:minorTickMark val="none"/>
        <c:tickLblPos val="nextTo"/>
        <c:crossAx val="4907215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83075"/>
          <c:y val="0.02575"/>
          <c:w val="0.12775"/>
          <c:h val="0.20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59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7425"/>
          <c:y val="0.218"/>
          <c:w val="0.64275"/>
          <c:h val="0.69475"/>
        </c:manualLayout>
      </c:layout>
      <c:pieChart>
        <c:varyColors val="1"/>
        <c:ser>
          <c:idx val="0"/>
          <c:order val="0"/>
          <c:tx>
            <c:strRef>
              <c:f>STRUC_AGE!$B$2</c:f>
              <c:strCache>
                <c:ptCount val="1"/>
                <c:pt idx="0">
                  <c:v>1988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STRUC_AGE!$A$3:$A$5</c:f>
              <c:strCache>
                <c:ptCount val="3"/>
                <c:pt idx="0">
                  <c:v>0-19 ans</c:v>
                </c:pt>
                <c:pt idx="1">
                  <c:v>20-59 ans</c:v>
                </c:pt>
                <c:pt idx="2">
                  <c:v>60 ans et plus</c:v>
                </c:pt>
              </c:strCache>
            </c:strRef>
          </c:cat>
          <c:val>
            <c:numRef>
              <c:f>STRUC_AGE!$B$3:$B$5</c:f>
              <c:numCache>
                <c:ptCount val="3"/>
                <c:pt idx="0">
                  <c:v>87028</c:v>
                </c:pt>
                <c:pt idx="1">
                  <c:v>91942</c:v>
                </c:pt>
                <c:pt idx="2">
                  <c:v>9844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26825"/>
          <c:y val="-0.00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86"/>
          <c:y val="0.20525"/>
          <c:w val="0.625"/>
          <c:h val="0.71075"/>
        </c:manualLayout>
      </c:layout>
      <c:pieChart>
        <c:varyColors val="1"/>
        <c:ser>
          <c:idx val="0"/>
          <c:order val="0"/>
          <c:tx>
            <c:strRef>
              <c:f>STRUC_AGE!$C$2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'[1]D_PYR_NB'!$L$26:$L$28</c:f>
              <c:strCache>
                <c:ptCount val="3"/>
                <c:pt idx="0">
                  <c:v>0-19 ans</c:v>
                </c:pt>
                <c:pt idx="1">
                  <c:v>20-59 ans</c:v>
                </c:pt>
                <c:pt idx="2">
                  <c:v>60 ans et plus</c:v>
                </c:pt>
              </c:strCache>
            </c:strRef>
          </c:cat>
          <c:val>
            <c:numRef>
              <c:f>STRUC_AGE!$C$3:$C$5</c:f>
              <c:numCache>
                <c:ptCount val="3"/>
                <c:pt idx="0">
                  <c:v>95291</c:v>
                </c:pt>
                <c:pt idx="1">
                  <c:v>143059</c:v>
                </c:pt>
                <c:pt idx="2">
                  <c:v>22390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62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065"/>
          <c:y val="0.21075"/>
          <c:w val="0.584"/>
          <c:h val="0.704"/>
        </c:manualLayout>
      </c:layout>
      <c:pieChart>
        <c:varyColors val="1"/>
        <c:ser>
          <c:idx val="0"/>
          <c:order val="0"/>
          <c:tx>
            <c:strRef>
              <c:f>STRUC_AGE!$D$2</c:f>
              <c:strCache>
                <c:ptCount val="1"/>
                <c:pt idx="0">
                  <c:v>2027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'[1]D_PYR_NB'!$L$26:$L$28</c:f>
              <c:strCache>
                <c:ptCount val="3"/>
                <c:pt idx="0">
                  <c:v>0-19 ans</c:v>
                </c:pt>
                <c:pt idx="1">
                  <c:v>20-59 ans</c:v>
                </c:pt>
                <c:pt idx="2">
                  <c:v>60 ans et plus</c:v>
                </c:pt>
              </c:strCache>
            </c:strRef>
          </c:cat>
          <c:val>
            <c:numRef>
              <c:f>STRUC_AGE!$D$3:$D$5</c:f>
              <c:numCache>
                <c:ptCount val="3"/>
                <c:pt idx="0">
                  <c:v>89346</c:v>
                </c:pt>
                <c:pt idx="1">
                  <c:v>176382</c:v>
                </c:pt>
                <c:pt idx="2">
                  <c:v>54877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6"/>
  </sheetPr>
  <sheetViews>
    <sheetView workbookViewId="0" zoomScale="126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63"/>
  </sheetPr>
  <sheetViews>
    <sheetView workbookViewId="0" zoomScale="119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63"/>
  </sheetPr>
  <sheetViews>
    <sheetView workbookViewId="0" zoomScale="11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6"/>
  </sheetPr>
  <sheetViews>
    <sheetView workbookViewId="0" zoomScale="126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126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56"/>
  </sheetPr>
  <sheetViews>
    <sheetView workbookViewId="0"/>
  </sheetViews>
  <pageMargins left="0.7" right="0.7" top="0.75" bottom="0.75" header="0.3" footer="0.3"/>
  <pageSetup fitToHeight="0" fitToWidth="0"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126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56"/>
  </sheetPr>
  <sheetViews>
    <sheetView workbookViewId="0" zoomScale="119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119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63"/>
  </sheetPr>
  <sheetViews>
    <sheetView workbookViewId="0" zoomScale="11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832256400" y="83225640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0.648</cdr:x>
      <cdr:y>0.99575</cdr:y>
    </cdr:from>
    <cdr:to>
      <cdr:x>0.97025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2009775" y="2543175"/>
          <a:ext cx="1000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260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740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hbts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0.6785</cdr:x>
      <cdr:y>0.98675</cdr:y>
    </cdr:from>
    <cdr:to>
      <cdr:x>0.97725</cdr:x>
      <cdr:y>1</cdr:y>
    </cdr:to>
    <cdr:sp>
      <cdr:nvSpPr>
        <cdr:cNvPr id="1" name="ZoneTexte 1"/>
        <cdr:cNvSpPr txBox="1">
          <a:spLocks noChangeArrowheads="1"/>
        </cdr:cNvSpPr>
      </cdr:nvSpPr>
      <cdr:spPr>
        <a:xfrm>
          <a:off x="2266950" y="2514600"/>
          <a:ext cx="1000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320 605hbts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0.0235</cdr:y>
    </cdr:from>
    <cdr:to>
      <cdr:x>0.3075</cdr:x>
      <cdr:y>0.43975</cdr:y>
    </cdr:to>
    <cdr:graphicFrame>
      <cdr:nvGraphicFramePr>
        <cdr:cNvPr id="1" name="Chart 94"/>
        <cdr:cNvGraphicFramePr/>
      </cdr:nvGraphicFramePr>
      <cdr:xfrm>
        <a:off x="0" y="142875"/>
        <a:ext cx="2886075" cy="25622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0.33425</cdr:x>
      <cdr:y>0.02</cdr:y>
    </cdr:from>
    <cdr:to>
      <cdr:x>0.66625</cdr:x>
      <cdr:y>0.43675</cdr:y>
    </cdr:to>
    <cdr:graphicFrame>
      <cdr:nvGraphicFramePr>
        <cdr:cNvPr id="2" name="Chart 95"/>
        <cdr:cNvGraphicFramePr/>
      </cdr:nvGraphicFramePr>
      <cdr:xfrm>
        <a:off x="3133725" y="114300"/>
        <a:ext cx="3114675" cy="2562225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0.64275</cdr:x>
      <cdr:y>0.0245</cdr:y>
    </cdr:from>
    <cdr:to>
      <cdr:x>1</cdr:x>
      <cdr:y>0.43975</cdr:y>
    </cdr:to>
    <cdr:graphicFrame>
      <cdr:nvGraphicFramePr>
        <cdr:cNvPr id="3" name="Chart 96"/>
        <cdr:cNvGraphicFramePr/>
      </cdr:nvGraphicFramePr>
      <cdr:xfrm>
        <a:off x="6029325" y="142875"/>
        <a:ext cx="3352800" cy="2552700"/>
      </cdr:xfrm>
      <a:graphic>
        <a:graphicData uri="http://schemas.openxmlformats.org/drawingml/2006/chart">
          <c:chart r:id="rId3"/>
        </a:graphicData>
      </a:graphic>
    </cdr:graphicFrame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832256400" y="83225640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0.2275</cdr:y>
    </cdr:from>
    <cdr:to>
      <cdr:x>0.59825</cdr:x>
      <cdr:y>0.29075</cdr:y>
    </cdr:to>
    <cdr:sp>
      <cdr:nvSpPr>
        <cdr:cNvPr id="1" name="ZoneTexte 1"/>
        <cdr:cNvSpPr txBox="1">
          <a:spLocks noChangeArrowheads="1"/>
        </cdr:cNvSpPr>
      </cdr:nvSpPr>
      <cdr:spPr>
        <a:xfrm>
          <a:off x="3343275" y="1390650"/>
          <a:ext cx="2266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832256400" y="83225640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0.3235</cdr:y>
    </cdr:from>
    <cdr:to>
      <cdr:x>0.485</cdr:x>
      <cdr:y>0.3975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3295650" y="1981200"/>
          <a:ext cx="1247775" cy="457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Naissances </a:t>
          </a:r>
          <a:r>
            <a:rPr lang="en-US" cap="none" sz="1000" b="0" i="1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(échelle de droite)</a:t>
          </a:r>
        </a:p>
      </cdr:txBody>
    </cdr:sp>
  </cdr:relSizeAnchor>
  <cdr:relSizeAnchor xmlns:cdr="http://schemas.openxmlformats.org/drawingml/2006/chartDrawing">
    <cdr:from>
      <cdr:x>0.67325</cdr:x>
      <cdr:y>0.01</cdr:y>
    </cdr:from>
    <cdr:to>
      <cdr:x>0.90225</cdr:x>
      <cdr:y>0.10475</cdr:y>
    </cdr:to>
    <cdr:sp>
      <cdr:nvSpPr>
        <cdr:cNvPr id="2" name="ZoneTexte 2"/>
        <cdr:cNvSpPr txBox="1">
          <a:spLocks noChangeArrowheads="1"/>
        </cdr:cNvSpPr>
      </cdr:nvSpPr>
      <cdr:spPr>
        <a:xfrm>
          <a:off x="6315075" y="57150"/>
          <a:ext cx="2152650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Jeunes : 
</a:t>
          </a:r>
          <a:r>
            <a:rPr lang="en-US" cap="none" sz="11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personnes âgées</a:t>
          </a:r>
          <a:r>
            <a:rPr lang="en-US" cap="none" sz="11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de 0 à 19 ans
</a:t>
          </a:r>
          <a:r>
            <a:rPr lang="en-US" cap="none" sz="1000" b="0" i="1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1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(échelle de gauche)</a:t>
          </a:r>
        </a:p>
      </cdr:txBody>
    </cdr:sp>
  </cdr:relSizeAnchor>
  <cdr:relSizeAnchor xmlns:cdr="http://schemas.openxmlformats.org/drawingml/2006/chartDrawing">
    <cdr:from>
      <cdr:x>0.26</cdr:x>
      <cdr:y>0.7525</cdr:y>
    </cdr:from>
    <cdr:to>
      <cdr:x>0.49025</cdr:x>
      <cdr:y>0.843</cdr:y>
    </cdr:to>
    <cdr:sp>
      <cdr:nvSpPr>
        <cdr:cNvPr id="3" name="ZoneTexte 1"/>
        <cdr:cNvSpPr txBox="1">
          <a:spLocks noChangeArrowheads="1"/>
        </cdr:cNvSpPr>
      </cdr:nvSpPr>
      <cdr:spPr>
        <a:xfrm>
          <a:off x="2438400" y="4629150"/>
          <a:ext cx="2162175" cy="552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Femmes en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âge de procréer</a:t>
          </a:r>
          <a:r>
            <a:rPr lang="en-US" cap="none" sz="11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: 
</a:t>
          </a:r>
          <a:r>
            <a:rPr lang="en-US" cap="none" sz="11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femmes âgées</a:t>
          </a:r>
          <a:r>
            <a:rPr lang="en-US" cap="none" sz="11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de 20 à 49 ans
</a:t>
          </a:r>
          <a:r>
            <a:rPr lang="en-US" cap="none" sz="1000" b="0" i="1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1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(échelle de gauche)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832256400" y="83225640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832256400" y="83225640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832256400" y="83225640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0.42</cdr:y>
    </cdr:from>
    <cdr:to>
      <cdr:x>0.30825</cdr:x>
      <cdr:y>0.47025</cdr:y>
    </cdr:to>
    <cdr:sp>
      <cdr:nvSpPr>
        <cdr:cNvPr id="1" name="ZoneTexte 1"/>
        <cdr:cNvSpPr txBox="1">
          <a:spLocks noChangeArrowheads="1"/>
        </cdr:cNvSpPr>
      </cdr:nvSpPr>
      <cdr:spPr>
        <a:xfrm>
          <a:off x="1885950" y="2581275"/>
          <a:ext cx="1000125" cy="304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8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Femmes</a:t>
          </a:r>
        </a:p>
      </cdr:txBody>
    </cdr:sp>
  </cdr:relSizeAnchor>
  <cdr:relSizeAnchor xmlns:cdr="http://schemas.openxmlformats.org/drawingml/2006/chartDrawing">
    <cdr:from>
      <cdr:x>0.404</cdr:x>
      <cdr:y>0.63525</cdr:y>
    </cdr:from>
    <cdr:to>
      <cdr:x>0.51725</cdr:x>
      <cdr:y>0.6865</cdr:y>
    </cdr:to>
    <cdr:sp>
      <cdr:nvSpPr>
        <cdr:cNvPr id="2" name="ZoneTexte 1"/>
        <cdr:cNvSpPr txBox="1">
          <a:spLocks noChangeArrowheads="1"/>
        </cdr:cNvSpPr>
      </cdr:nvSpPr>
      <cdr:spPr>
        <a:xfrm>
          <a:off x="3781425" y="3905250"/>
          <a:ext cx="1066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Hommes</a:t>
          </a:r>
        </a:p>
      </cdr:txBody>
    </cdr:sp>
  </cdr:relSizeAnchor>
  <cdr:relSizeAnchor xmlns:cdr="http://schemas.openxmlformats.org/drawingml/2006/chartDrawing">
    <cdr:from>
      <cdr:x>0.59225</cdr:x>
      <cdr:y>0.32975</cdr:y>
    </cdr:from>
    <cdr:to>
      <cdr:x>0.71075</cdr:x>
      <cdr:y>0.367</cdr:y>
    </cdr:to>
    <cdr:sp>
      <cdr:nvSpPr>
        <cdr:cNvPr id="3" name="ZoneTexte 1"/>
        <cdr:cNvSpPr txBox="1">
          <a:spLocks noChangeArrowheads="1"/>
        </cdr:cNvSpPr>
      </cdr:nvSpPr>
      <cdr:spPr>
        <a:xfrm>
          <a:off x="5553075" y="2028825"/>
          <a:ext cx="11144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Ensemble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-0.00425</cdr:y>
    </cdr:from>
    <cdr:to>
      <cdr:x>0.179</cdr:x>
      <cdr:y>0.06575</cdr:y>
    </cdr:to>
    <cdr:sp>
      <cdr:nvSpPr>
        <cdr:cNvPr id="1" name="ZoneTexte 2"/>
        <cdr:cNvSpPr txBox="1">
          <a:spLocks noChangeArrowheads="1"/>
        </cdr:cNvSpPr>
      </cdr:nvSpPr>
      <cdr:spPr>
        <a:xfrm>
          <a:off x="381000" y="-19049"/>
          <a:ext cx="12954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Taux de croissance annuelle (%)</a:t>
          </a:r>
        </a:p>
      </cdr:txBody>
    </cdr:sp>
  </cdr:relSizeAnchor>
  <cdr:relSizeAnchor xmlns:cdr="http://schemas.openxmlformats.org/drawingml/2006/chartDrawing">
    <cdr:from>
      <cdr:x>0.6205</cdr:x>
      <cdr:y>0.532</cdr:y>
    </cdr:from>
    <cdr:to>
      <cdr:x>0.905</cdr:x>
      <cdr:y>0.60275</cdr:y>
    </cdr:to>
    <cdr:sp>
      <cdr:nvSpPr>
        <cdr:cNvPr id="2" name="ZoneTexte 6"/>
        <cdr:cNvSpPr txBox="1">
          <a:spLocks noChangeArrowheads="1"/>
        </cdr:cNvSpPr>
      </cdr:nvSpPr>
      <cdr:spPr>
        <a:xfrm>
          <a:off x="5810250" y="3267075"/>
          <a:ext cx="26670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Population totale 
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(Taux annuel en % - échelle de gauche)</a:t>
          </a:r>
        </a:p>
      </cdr:txBody>
    </cdr:sp>
  </cdr:relSizeAnchor>
  <cdr:relSizeAnchor xmlns:cdr="http://schemas.openxmlformats.org/drawingml/2006/chartDrawing">
    <cdr:from>
      <cdr:x>0.41875</cdr:x>
      <cdr:y>0.6945</cdr:y>
    </cdr:from>
    <cdr:to>
      <cdr:x>0.68075</cdr:x>
      <cdr:y>0.77425</cdr:y>
    </cdr:to>
    <cdr:sp>
      <cdr:nvSpPr>
        <cdr:cNvPr id="3" name="ZoneTexte 1"/>
        <cdr:cNvSpPr txBox="1">
          <a:spLocks noChangeArrowheads="1"/>
        </cdr:cNvSpPr>
      </cdr:nvSpPr>
      <cdr:spPr>
        <a:xfrm>
          <a:off x="3924300" y="4267200"/>
          <a:ext cx="24574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Personnes âgée de 20 à 59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ans 
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(Taux annuel en % - échelle de gauche)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53150"/>
    <xdr:graphicFrame>
      <xdr:nvGraphicFramePr>
        <xdr:cNvPr id="1" name="Shape 1025"/>
        <xdr:cNvGraphicFramePr/>
      </xdr:nvGraphicFramePr>
      <xdr:xfrm>
        <a:off x="832256400" y="832256400"/>
        <a:ext cx="937260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832256400" y="83225640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832256400" y="83225640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0.13025</cdr:x>
      <cdr:y>0.082</cdr:y>
    </cdr:from>
    <cdr:to>
      <cdr:x>0.41025</cdr:x>
      <cdr:y>0.353</cdr:y>
    </cdr:to>
    <cdr:graphicFrame>
      <cdr:nvGraphicFramePr>
        <cdr:cNvPr id="1" name="Chart 32"/>
        <cdr:cNvGraphicFramePr/>
      </cdr:nvGraphicFramePr>
      <cdr:xfrm>
        <a:off x="1219200" y="495300"/>
        <a:ext cx="2628900" cy="16668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832256400" y="83225640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0.56475</cdr:x>
      <cdr:y>0.661</cdr:y>
    </cdr:from>
    <cdr:to>
      <cdr:x>0.693</cdr:x>
      <cdr:y>0.71675</cdr:y>
    </cdr:to>
    <cdr:sp>
      <cdr:nvSpPr>
        <cdr:cNvPr id="1" name="ZoneTexte 1"/>
        <cdr:cNvSpPr txBox="1">
          <a:spLocks noChangeArrowheads="1"/>
        </cdr:cNvSpPr>
      </cdr:nvSpPr>
      <cdr:spPr>
        <a:xfrm>
          <a:off x="5238750" y="4000500"/>
          <a:ext cx="1190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Femmes</a:t>
          </a:r>
        </a:p>
      </cdr:txBody>
    </cdr:sp>
  </cdr:relSizeAnchor>
  <cdr:relSizeAnchor xmlns:cdr="http://schemas.openxmlformats.org/drawingml/2006/chartDrawing">
    <cdr:from>
      <cdr:x>0.3835</cdr:x>
      <cdr:y>0.6565</cdr:y>
    </cdr:from>
    <cdr:to>
      <cdr:x>0.51275</cdr:x>
      <cdr:y>0.71125</cdr:y>
    </cdr:to>
    <cdr:sp>
      <cdr:nvSpPr>
        <cdr:cNvPr id="2" name="ZoneTexte 1"/>
        <cdr:cNvSpPr txBox="1">
          <a:spLocks noChangeArrowheads="1"/>
        </cdr:cNvSpPr>
      </cdr:nvSpPr>
      <cdr:spPr>
        <a:xfrm>
          <a:off x="3552825" y="3971925"/>
          <a:ext cx="1200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Hommes</a:t>
          </a:r>
        </a:p>
      </cdr:txBody>
    </cdr:sp>
  </cdr:relSizeAnchor>
  <cdr:relSizeAnchor xmlns:cdr="http://schemas.openxmlformats.org/drawingml/2006/chartDrawing">
    <cdr:from>
      <cdr:x>0.684</cdr:x>
      <cdr:y>0.12075</cdr:y>
    </cdr:from>
    <cdr:to>
      <cdr:x>0.97375</cdr:x>
      <cdr:y>0.2985</cdr:y>
    </cdr:to>
    <cdr:sp>
      <cdr:nvSpPr>
        <cdr:cNvPr id="3" name="ZoneTexte 5"/>
        <cdr:cNvSpPr txBox="1">
          <a:spLocks noChangeArrowheads="1"/>
        </cdr:cNvSpPr>
      </cdr:nvSpPr>
      <cdr:spPr>
        <a:xfrm>
          <a:off x="6343650" y="723900"/>
          <a:ext cx="269557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0.68975</cdr:x>
      <cdr:y>0.14675</cdr:y>
    </cdr:from>
    <cdr:to>
      <cdr:x>0.9825</cdr:x>
      <cdr:y>0.3425</cdr:y>
    </cdr:to>
    <cdr:sp>
      <cdr:nvSpPr>
        <cdr:cNvPr id="4" name="ZoneTexte 6"/>
        <cdr:cNvSpPr txBox="1">
          <a:spLocks noChangeArrowheads="1"/>
        </cdr:cNvSpPr>
      </cdr:nvSpPr>
      <cdr:spPr>
        <a:xfrm>
          <a:off x="6400800" y="885825"/>
          <a:ext cx="2714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57900"/>
    <xdr:graphicFrame>
      <xdr:nvGraphicFramePr>
        <xdr:cNvPr id="1" name="Shape 1025"/>
        <xdr:cNvGraphicFramePr/>
      </xdr:nvGraphicFramePr>
      <xdr:xfrm>
        <a:off x="832256400" y="832256400"/>
        <a:ext cx="92868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0.68425</cdr:x>
      <cdr:y>0.98325</cdr:y>
    </cdr:from>
    <cdr:to>
      <cdr:x>1</cdr:x>
      <cdr:y>1</cdr:y>
    </cdr:to>
    <cdr:sp>
      <cdr:nvSpPr>
        <cdr:cNvPr id="1" name="ZoneTexte 2"/>
        <cdr:cNvSpPr txBox="1">
          <a:spLocks noChangeArrowheads="1"/>
        </cdr:cNvSpPr>
      </cdr:nvSpPr>
      <cdr:spPr>
        <a:xfrm>
          <a:off x="1971675" y="2514600"/>
          <a:ext cx="990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188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814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hbts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triciaa\Local%20Settings\Temporary%20Internet%20Files\Content.Outlook\RVYDVX11\PF_Projec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ge_mère"/>
      <sheetName val="Graph4"/>
      <sheetName val="D_PYR_NB"/>
      <sheetName val="Graph11"/>
      <sheetName val="D_PYR_%"/>
      <sheetName val="Graph12"/>
      <sheetName val="Logements"/>
      <sheetName val="Graph13"/>
      <sheetName val="EV_POP"/>
      <sheetName val="Graph14"/>
      <sheetName val="Graph15"/>
      <sheetName val="Actvite_New"/>
      <sheetName val="Feuil1"/>
      <sheetName val="D_PYR_NB mig"/>
      <sheetName val="Graph16"/>
    </sheetNames>
    <sheetDataSet>
      <sheetData sheetId="3">
        <row r="26">
          <cell r="L26" t="str">
            <v>0-19 ans</v>
          </cell>
        </row>
        <row r="27">
          <cell r="L27" t="str">
            <v>20-59 ans</v>
          </cell>
        </row>
        <row r="28">
          <cell r="L28" t="str">
            <v>60 ans et plus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C43"/>
  <sheetViews>
    <sheetView tabSelected="1" zoomScalePageLayoutView="0" workbookViewId="0" topLeftCell="A1">
      <selection activeCell="C43" sqref="A2:C43"/>
    </sheetView>
  </sheetViews>
  <sheetFormatPr defaultColWidth="11.421875" defaultRowHeight="40.5" customHeight="1"/>
  <cols>
    <col min="1" max="1" width="10.8515625" style="6" customWidth="1"/>
    <col min="2" max="2" width="18.7109375" style="6" customWidth="1"/>
    <col min="3" max="3" width="15.7109375" style="6" customWidth="1"/>
    <col min="4" max="16384" width="11.421875" style="6" customWidth="1"/>
  </cols>
  <sheetData>
    <row r="1" ht="40.5" customHeight="1">
      <c r="A1" s="5" t="s">
        <v>1</v>
      </c>
    </row>
    <row r="2" spans="1:3" ht="15">
      <c r="A2" s="140" t="s">
        <v>2</v>
      </c>
      <c r="B2" s="141" t="s">
        <v>14</v>
      </c>
      <c r="C2" s="142" t="s">
        <v>15</v>
      </c>
    </row>
    <row r="3" spans="1:3" ht="15">
      <c r="A3" s="143">
        <v>1987</v>
      </c>
      <c r="B3" s="144">
        <v>3.57</v>
      </c>
      <c r="C3" s="145"/>
    </row>
    <row r="4" spans="1:3" ht="15">
      <c r="A4" s="146">
        <v>1988</v>
      </c>
      <c r="B4" s="147">
        <v>3.69</v>
      </c>
      <c r="C4" s="148"/>
    </row>
    <row r="5" spans="1:3" ht="15">
      <c r="A5" s="143">
        <v>1989</v>
      </c>
      <c r="B5" s="144">
        <v>3.42</v>
      </c>
      <c r="C5" s="145"/>
    </row>
    <row r="6" spans="1:3" ht="15">
      <c r="A6" s="146">
        <v>1990</v>
      </c>
      <c r="B6" s="147">
        <v>3.4</v>
      </c>
      <c r="C6" s="148"/>
    </row>
    <row r="7" spans="1:3" ht="15">
      <c r="A7" s="143">
        <v>1991</v>
      </c>
      <c r="B7" s="144">
        <v>3.22</v>
      </c>
      <c r="C7" s="145"/>
    </row>
    <row r="8" spans="1:3" ht="15">
      <c r="A8" s="146">
        <v>1992</v>
      </c>
      <c r="B8" s="147">
        <v>3.11</v>
      </c>
      <c r="C8" s="148"/>
    </row>
    <row r="9" spans="1:3" ht="15">
      <c r="A9" s="143">
        <v>1993</v>
      </c>
      <c r="B9" s="144">
        <v>3.06</v>
      </c>
      <c r="C9" s="145"/>
    </row>
    <row r="10" spans="1:3" ht="15">
      <c r="A10" s="146">
        <v>1994</v>
      </c>
      <c r="B10" s="147">
        <v>2.92</v>
      </c>
      <c r="C10" s="148"/>
    </row>
    <row r="11" spans="1:3" ht="15">
      <c r="A11" s="143">
        <v>1995</v>
      </c>
      <c r="B11" s="144">
        <v>2.76</v>
      </c>
      <c r="C11" s="145"/>
    </row>
    <row r="12" spans="1:3" ht="15">
      <c r="A12" s="146">
        <v>1996</v>
      </c>
      <c r="B12" s="147">
        <v>2.69</v>
      </c>
      <c r="C12" s="148"/>
    </row>
    <row r="13" spans="1:3" ht="15">
      <c r="A13" s="143">
        <v>1997</v>
      </c>
      <c r="B13" s="144">
        <v>2.57</v>
      </c>
      <c r="C13" s="145"/>
    </row>
    <row r="14" spans="1:3" ht="15">
      <c r="A14" s="146">
        <v>1998</v>
      </c>
      <c r="B14" s="147">
        <v>2.47</v>
      </c>
      <c r="C14" s="148"/>
    </row>
    <row r="15" spans="1:3" ht="15">
      <c r="A15" s="143">
        <v>1999</v>
      </c>
      <c r="B15" s="144">
        <v>2.58</v>
      </c>
      <c r="C15" s="145"/>
    </row>
    <row r="16" spans="1:3" ht="15">
      <c r="A16" s="146">
        <v>2000</v>
      </c>
      <c r="B16" s="147">
        <v>2.58</v>
      </c>
      <c r="C16" s="148"/>
    </row>
    <row r="17" spans="1:3" ht="15">
      <c r="A17" s="143">
        <v>2001</v>
      </c>
      <c r="B17" s="144">
        <v>2.51</v>
      </c>
      <c r="C17" s="145"/>
    </row>
    <row r="18" spans="1:3" ht="15">
      <c r="A18" s="146">
        <v>2002</v>
      </c>
      <c r="B18" s="147">
        <v>2.42</v>
      </c>
      <c r="C18" s="148"/>
    </row>
    <row r="19" spans="1:3" ht="15">
      <c r="A19" s="143">
        <v>2003</v>
      </c>
      <c r="B19" s="144">
        <v>2.24</v>
      </c>
      <c r="C19" s="145"/>
    </row>
    <row r="20" spans="1:3" ht="15">
      <c r="A20" s="146">
        <v>2004</v>
      </c>
      <c r="B20" s="147">
        <v>2.19</v>
      </c>
      <c r="C20" s="148"/>
    </row>
    <row r="21" spans="1:3" ht="15">
      <c r="A21" s="143">
        <v>2005</v>
      </c>
      <c r="B21" s="144">
        <v>2.17</v>
      </c>
      <c r="C21" s="145"/>
    </row>
    <row r="22" spans="1:3" ht="15">
      <c r="A22" s="146">
        <v>2006</v>
      </c>
      <c r="B22" s="147">
        <v>2.21</v>
      </c>
      <c r="C22" s="148"/>
    </row>
    <row r="23" spans="1:3" ht="15">
      <c r="A23" s="143">
        <v>2007</v>
      </c>
      <c r="B23" s="144">
        <v>2.11</v>
      </c>
      <c r="C23" s="145">
        <v>2.11</v>
      </c>
    </row>
    <row r="24" spans="1:3" ht="15">
      <c r="A24" s="146">
        <v>2008</v>
      </c>
      <c r="B24" s="147"/>
      <c r="C24" s="148">
        <v>2.1</v>
      </c>
    </row>
    <row r="25" spans="1:3" ht="15">
      <c r="A25" s="143">
        <v>2009</v>
      </c>
      <c r="B25" s="144"/>
      <c r="C25" s="145">
        <v>2.09</v>
      </c>
    </row>
    <row r="26" spans="1:3" ht="15">
      <c r="A26" s="146">
        <v>2010</v>
      </c>
      <c r="B26" s="147"/>
      <c r="C26" s="148">
        <v>2.08</v>
      </c>
    </row>
    <row r="27" spans="1:3" ht="15">
      <c r="A27" s="143">
        <v>2011</v>
      </c>
      <c r="B27" s="144"/>
      <c r="C27" s="145">
        <v>2.07</v>
      </c>
    </row>
    <row r="28" spans="1:3" ht="15">
      <c r="A28" s="146">
        <v>2012</v>
      </c>
      <c r="B28" s="147"/>
      <c r="C28" s="148">
        <v>2.06</v>
      </c>
    </row>
    <row r="29" spans="1:3" ht="15">
      <c r="A29" s="143">
        <v>2013</v>
      </c>
      <c r="B29" s="144"/>
      <c r="C29" s="145">
        <v>2.05</v>
      </c>
    </row>
    <row r="30" spans="1:3" ht="15">
      <c r="A30" s="146">
        <v>2014</v>
      </c>
      <c r="B30" s="147"/>
      <c r="C30" s="148">
        <v>2.04</v>
      </c>
    </row>
    <row r="31" spans="1:3" ht="15">
      <c r="A31" s="143">
        <v>2015</v>
      </c>
      <c r="B31" s="144"/>
      <c r="C31" s="145">
        <v>2.03</v>
      </c>
    </row>
    <row r="32" spans="1:3" ht="15">
      <c r="A32" s="146">
        <v>2016</v>
      </c>
      <c r="B32" s="147"/>
      <c r="C32" s="148">
        <v>2.02</v>
      </c>
    </row>
    <row r="33" spans="1:3" ht="15">
      <c r="A33" s="143">
        <v>2017</v>
      </c>
      <c r="B33" s="144"/>
      <c r="C33" s="145">
        <v>2</v>
      </c>
    </row>
    <row r="34" spans="1:3" ht="15">
      <c r="A34" s="146">
        <v>2018</v>
      </c>
      <c r="B34" s="147"/>
      <c r="C34" s="148">
        <v>1.99</v>
      </c>
    </row>
    <row r="35" spans="1:3" ht="15">
      <c r="A35" s="143">
        <v>2019</v>
      </c>
      <c r="B35" s="144"/>
      <c r="C35" s="145">
        <v>1.98</v>
      </c>
    </row>
    <row r="36" spans="1:3" ht="15">
      <c r="A36" s="146">
        <v>2020</v>
      </c>
      <c r="B36" s="147"/>
      <c r="C36" s="148">
        <v>1.97</v>
      </c>
    </row>
    <row r="37" spans="1:3" ht="15">
      <c r="A37" s="143">
        <v>2021</v>
      </c>
      <c r="B37" s="144"/>
      <c r="C37" s="145">
        <v>1.96</v>
      </c>
    </row>
    <row r="38" spans="1:3" ht="15">
      <c r="A38" s="146">
        <v>2022</v>
      </c>
      <c r="B38" s="147"/>
      <c r="C38" s="148">
        <v>1.95</v>
      </c>
    </row>
    <row r="39" spans="1:3" ht="15">
      <c r="A39" s="143">
        <v>2023</v>
      </c>
      <c r="B39" s="144"/>
      <c r="C39" s="145">
        <v>1.94</v>
      </c>
    </row>
    <row r="40" spans="1:3" ht="15">
      <c r="A40" s="146">
        <v>2024</v>
      </c>
      <c r="B40" s="147"/>
      <c r="C40" s="148">
        <v>1.93</v>
      </c>
    </row>
    <row r="41" spans="1:3" ht="15">
      <c r="A41" s="143">
        <v>2025</v>
      </c>
      <c r="B41" s="144"/>
      <c r="C41" s="145">
        <v>1.92</v>
      </c>
    </row>
    <row r="42" spans="1:3" ht="15">
      <c r="A42" s="146">
        <v>2026</v>
      </c>
      <c r="B42" s="147"/>
      <c r="C42" s="148">
        <v>1.91</v>
      </c>
    </row>
    <row r="43" spans="1:3" ht="15">
      <c r="A43" s="143">
        <v>2027</v>
      </c>
      <c r="B43" s="144"/>
      <c r="C43" s="145">
        <v>1.9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8"/>
  <sheetViews>
    <sheetView zoomScalePageLayoutView="0" workbookViewId="0" topLeftCell="A1">
      <selection activeCell="H7" sqref="H7"/>
    </sheetView>
  </sheetViews>
  <sheetFormatPr defaultColWidth="11.421875" defaultRowHeight="15"/>
  <cols>
    <col min="2" max="2" width="12.8515625" style="0" bestFit="1" customWidth="1"/>
    <col min="3" max="3" width="11.8515625" style="0" bestFit="1" customWidth="1"/>
  </cols>
  <sheetData>
    <row r="1" ht="15">
      <c r="A1" s="75" t="s">
        <v>84</v>
      </c>
    </row>
    <row r="3" spans="1:10" ht="15">
      <c r="A3" s="56"/>
      <c r="B3" s="235">
        <v>1988</v>
      </c>
      <c r="C3" s="235"/>
      <c r="D3" s="235"/>
      <c r="E3" s="235">
        <v>2007</v>
      </c>
      <c r="F3" s="235"/>
      <c r="G3" s="235"/>
      <c r="H3" s="235">
        <v>2027</v>
      </c>
      <c r="I3" s="235"/>
      <c r="J3" s="235"/>
    </row>
    <row r="4" spans="1:10" ht="25.5">
      <c r="A4" s="54"/>
      <c r="B4" s="55" t="s">
        <v>68</v>
      </c>
      <c r="C4" s="55" t="s">
        <v>69</v>
      </c>
      <c r="D4" s="55" t="s">
        <v>72</v>
      </c>
      <c r="E4" s="55" t="s">
        <v>68</v>
      </c>
      <c r="F4" s="55" t="s">
        <v>69</v>
      </c>
      <c r="G4" s="55" t="s">
        <v>72</v>
      </c>
      <c r="H4" s="55" t="s">
        <v>68</v>
      </c>
      <c r="I4" s="55" t="s">
        <v>69</v>
      </c>
      <c r="J4" s="55" t="s">
        <v>72</v>
      </c>
    </row>
    <row r="5" spans="1:10" ht="36" customHeight="1">
      <c r="A5" s="57" t="s">
        <v>25</v>
      </c>
      <c r="B5" s="101">
        <f>_xlfn.COMPOUNDVALUE(13)</f>
        <v>20418</v>
      </c>
      <c r="C5" s="102">
        <v>3496</v>
      </c>
      <c r="D5" s="59">
        <v>0.1712214712508571</v>
      </c>
      <c r="E5" s="109">
        <v>26329</v>
      </c>
      <c r="F5" s="110">
        <v>3840.0936642399674</v>
      </c>
      <c r="G5" s="59">
        <v>0.1458503423692494</v>
      </c>
      <c r="H5" s="110">
        <v>22323</v>
      </c>
      <c r="I5" s="110">
        <v>3249.976322671634</v>
      </c>
      <c r="J5" s="58">
        <v>0.14558868981192644</v>
      </c>
    </row>
    <row r="6" spans="1:10" ht="36" customHeight="1">
      <c r="A6" s="60" t="s">
        <v>70</v>
      </c>
      <c r="B6" s="103">
        <v>91942</v>
      </c>
      <c r="C6" s="104">
        <v>58977</v>
      </c>
      <c r="D6" s="62">
        <v>0.6414587457310044</v>
      </c>
      <c r="E6" s="111">
        <v>143059</v>
      </c>
      <c r="F6" s="112">
        <v>101360.60992309212</v>
      </c>
      <c r="G6" s="62">
        <v>0.7085231262842053</v>
      </c>
      <c r="H6" s="112">
        <v>176382</v>
      </c>
      <c r="I6" s="112">
        <v>122658.90228402856</v>
      </c>
      <c r="J6" s="61">
        <v>0.6954162118811928</v>
      </c>
    </row>
    <row r="7" spans="1:10" ht="36" customHeight="1">
      <c r="A7" s="63" t="s">
        <v>71</v>
      </c>
      <c r="B7" s="105">
        <v>9844</v>
      </c>
      <c r="C7" s="106">
        <v>1362</v>
      </c>
      <c r="D7" s="65">
        <v>0.13835839089800894</v>
      </c>
      <c r="E7" s="113">
        <v>22390</v>
      </c>
      <c r="F7" s="114">
        <v>2433.1824112063296</v>
      </c>
      <c r="G7" s="65">
        <v>0.10867272939733495</v>
      </c>
      <c r="H7" s="114">
        <v>54877</v>
      </c>
      <c r="I7" s="114">
        <v>5735.206492220297</v>
      </c>
      <c r="J7" s="64">
        <v>0.10451020449770027</v>
      </c>
    </row>
    <row r="8" spans="1:10" ht="36" customHeight="1">
      <c r="A8" s="60" t="s">
        <v>5</v>
      </c>
      <c r="B8" s="107">
        <v>122204</v>
      </c>
      <c r="C8" s="108">
        <v>63835</v>
      </c>
      <c r="D8" s="67">
        <v>0.5223642433962882</v>
      </c>
      <c r="E8" s="115">
        <v>191778</v>
      </c>
      <c r="F8" s="116">
        <v>107633.88599853842</v>
      </c>
      <c r="G8" s="67">
        <v>0.5612420924117387</v>
      </c>
      <c r="H8" s="116">
        <v>253582</v>
      </c>
      <c r="I8" s="116">
        <v>131644.08509892048</v>
      </c>
      <c r="J8" s="66">
        <v>0.5191381292793671</v>
      </c>
    </row>
  </sheetData>
  <sheetProtection/>
  <mergeCells count="3">
    <mergeCell ref="B3:D3"/>
    <mergeCell ref="E3:G3"/>
    <mergeCell ref="H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N52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421875" style="8" customWidth="1"/>
    <col min="2" max="2" width="12.8515625" style="0" bestFit="1" customWidth="1"/>
    <col min="3" max="3" width="11.8515625" style="43" customWidth="1"/>
    <col min="4" max="4" width="21.140625" style="43" customWidth="1"/>
    <col min="5" max="5" width="15.28125" style="0" customWidth="1"/>
    <col min="6" max="6" width="22.140625" style="0" customWidth="1"/>
    <col min="11" max="11" width="16.28125" style="0" customWidth="1"/>
    <col min="12" max="12" width="15.421875" style="0" customWidth="1"/>
    <col min="13" max="13" width="18.57421875" style="0" customWidth="1"/>
  </cols>
  <sheetData>
    <row r="1" spans="1:4" s="75" customFormat="1" ht="15">
      <c r="A1" s="8"/>
      <c r="C1" s="43"/>
      <c r="D1" s="43"/>
    </row>
    <row r="2" spans="1:4" s="75" customFormat="1" ht="28.5">
      <c r="A2" s="240" t="s">
        <v>134</v>
      </c>
      <c r="C2" s="43"/>
      <c r="D2" s="43"/>
    </row>
    <row r="3" spans="1:4" s="75" customFormat="1" ht="15">
      <c r="A3" s="8"/>
      <c r="C3" s="43"/>
      <c r="D3" s="43"/>
    </row>
    <row r="4" spans="1:6" s="1" customFormat="1" ht="30">
      <c r="A4" s="127" t="s">
        <v>55</v>
      </c>
      <c r="B4" s="85" t="s">
        <v>10</v>
      </c>
      <c r="C4" s="85" t="s">
        <v>89</v>
      </c>
      <c r="D4" s="85" t="s">
        <v>90</v>
      </c>
      <c r="E4" s="85" t="s">
        <v>91</v>
      </c>
      <c r="F4" s="85" t="s">
        <v>92</v>
      </c>
    </row>
    <row r="5" spans="1:6" ht="15">
      <c r="A5" s="128">
        <v>1988</v>
      </c>
      <c r="B5" s="87">
        <v>190196</v>
      </c>
      <c r="C5" s="130" t="e">
        <v>#N/A</v>
      </c>
      <c r="D5" s="130" t="e">
        <v>#N/A</v>
      </c>
      <c r="E5" s="130" t="e">
        <v>#N/A</v>
      </c>
      <c r="F5" s="130" t="e">
        <v>#N/A</v>
      </c>
    </row>
    <row r="6" spans="1:6" ht="15">
      <c r="A6" s="129">
        <v>1989</v>
      </c>
      <c r="B6" s="89">
        <v>194228</v>
      </c>
      <c r="C6" s="131" t="e">
        <v>#N/A</v>
      </c>
      <c r="D6" s="131" t="e">
        <v>#N/A</v>
      </c>
      <c r="E6" s="131" t="e">
        <v>#N/A</v>
      </c>
      <c r="F6" s="131" t="e">
        <v>#N/A</v>
      </c>
    </row>
    <row r="7" spans="1:6" ht="15">
      <c r="A7" s="128">
        <v>1990</v>
      </c>
      <c r="B7" s="87">
        <v>198428</v>
      </c>
      <c r="C7" s="130" t="e">
        <v>#N/A</v>
      </c>
      <c r="D7" s="130" t="e">
        <v>#N/A</v>
      </c>
      <c r="E7" s="130" t="e">
        <v>#N/A</v>
      </c>
      <c r="F7" s="130" t="e">
        <v>#N/A</v>
      </c>
    </row>
    <row r="8" spans="1:6" ht="15">
      <c r="A8" s="129">
        <v>1991</v>
      </c>
      <c r="B8" s="89">
        <v>202420</v>
      </c>
      <c r="C8" s="131" t="e">
        <v>#N/A</v>
      </c>
      <c r="D8" s="131" t="e">
        <v>#N/A</v>
      </c>
      <c r="E8" s="131" t="e">
        <v>#N/A</v>
      </c>
      <c r="F8" s="131" t="e">
        <v>#N/A</v>
      </c>
    </row>
    <row r="9" spans="1:6" ht="15">
      <c r="A9" s="128">
        <v>1992</v>
      </c>
      <c r="B9" s="87">
        <v>206283</v>
      </c>
      <c r="C9" s="130" t="e">
        <v>#N/A</v>
      </c>
      <c r="D9" s="130" t="e">
        <v>#N/A</v>
      </c>
      <c r="E9" s="130" t="e">
        <v>#N/A</v>
      </c>
      <c r="F9" s="130" t="e">
        <v>#N/A</v>
      </c>
    </row>
    <row r="10" spans="1:6" ht="15">
      <c r="A10" s="129">
        <v>1993</v>
      </c>
      <c r="B10" s="89">
        <v>210128</v>
      </c>
      <c r="C10" s="131" t="e">
        <v>#N/A</v>
      </c>
      <c r="D10" s="131" t="e">
        <v>#N/A</v>
      </c>
      <c r="E10" s="131" t="e">
        <v>#N/A</v>
      </c>
      <c r="F10" s="131" t="e">
        <v>#N/A</v>
      </c>
    </row>
    <row r="11" spans="1:6" ht="15">
      <c r="A11" s="128">
        <v>1994</v>
      </c>
      <c r="B11" s="87">
        <v>213768</v>
      </c>
      <c r="C11" s="130" t="e">
        <v>#N/A</v>
      </c>
      <c r="D11" s="130" t="e">
        <v>#N/A</v>
      </c>
      <c r="E11" s="130" t="e">
        <v>#N/A</v>
      </c>
      <c r="F11" s="130" t="e">
        <v>#N/A</v>
      </c>
    </row>
    <row r="12" spans="1:6" ht="15">
      <c r="A12" s="129">
        <v>1995</v>
      </c>
      <c r="B12" s="89">
        <v>217171</v>
      </c>
      <c r="C12" s="131" t="e">
        <v>#N/A</v>
      </c>
      <c r="D12" s="131" t="e">
        <v>#N/A</v>
      </c>
      <c r="E12" s="131" t="e">
        <v>#N/A</v>
      </c>
      <c r="F12" s="131" t="e">
        <v>#N/A</v>
      </c>
    </row>
    <row r="13" spans="1:6" ht="15">
      <c r="A13" s="128">
        <v>1996</v>
      </c>
      <c r="B13" s="87">
        <v>220853</v>
      </c>
      <c r="C13" s="130" t="e">
        <v>#N/A</v>
      </c>
      <c r="D13" s="130" t="e">
        <v>#N/A</v>
      </c>
      <c r="E13" s="130" t="e">
        <v>#N/A</v>
      </c>
      <c r="F13" s="130" t="e">
        <v>#N/A</v>
      </c>
    </row>
    <row r="14" spans="1:6" ht="15">
      <c r="A14" s="129">
        <v>1997</v>
      </c>
      <c r="B14" s="89">
        <v>224886</v>
      </c>
      <c r="C14" s="131" t="e">
        <v>#N/A</v>
      </c>
      <c r="D14" s="131" t="e">
        <v>#N/A</v>
      </c>
      <c r="E14" s="131" t="e">
        <v>#N/A</v>
      </c>
      <c r="F14" s="131" t="e">
        <v>#N/A</v>
      </c>
    </row>
    <row r="15" spans="1:6" ht="15">
      <c r="A15" s="128">
        <v>1998</v>
      </c>
      <c r="B15" s="87">
        <v>228752</v>
      </c>
      <c r="C15" s="130" t="e">
        <v>#N/A</v>
      </c>
      <c r="D15" s="130" t="e">
        <v>#N/A</v>
      </c>
      <c r="E15" s="130" t="e">
        <v>#N/A</v>
      </c>
      <c r="F15" s="130" t="e">
        <v>#N/A</v>
      </c>
    </row>
    <row r="16" spans="1:6" ht="15">
      <c r="A16" s="129">
        <v>1999</v>
      </c>
      <c r="B16" s="89">
        <v>232934</v>
      </c>
      <c r="C16" s="131" t="e">
        <v>#N/A</v>
      </c>
      <c r="D16" s="131" t="e">
        <v>#N/A</v>
      </c>
      <c r="E16" s="131" t="e">
        <v>#N/A</v>
      </c>
      <c r="F16" s="131" t="e">
        <v>#N/A</v>
      </c>
    </row>
    <row r="17" spans="1:6" ht="15">
      <c r="A17" s="128">
        <v>2000</v>
      </c>
      <c r="B17" s="87">
        <v>237233</v>
      </c>
      <c r="C17" s="130" t="e">
        <v>#N/A</v>
      </c>
      <c r="D17" s="130" t="e">
        <v>#N/A</v>
      </c>
      <c r="E17" s="130" t="e">
        <v>#N/A</v>
      </c>
      <c r="F17" s="130" t="e">
        <v>#N/A</v>
      </c>
    </row>
    <row r="18" spans="1:6" ht="15">
      <c r="A18" s="129">
        <v>2001</v>
      </c>
      <c r="B18" s="89">
        <v>241346</v>
      </c>
      <c r="C18" s="131" t="e">
        <v>#N/A</v>
      </c>
      <c r="D18" s="131" t="e">
        <v>#N/A</v>
      </c>
      <c r="E18" s="131" t="e">
        <v>#N/A</v>
      </c>
      <c r="F18" s="131" t="e">
        <v>#N/A</v>
      </c>
    </row>
    <row r="19" spans="1:6" ht="15">
      <c r="A19" s="128">
        <v>2002</v>
      </c>
      <c r="B19" s="87">
        <v>245304</v>
      </c>
      <c r="C19" s="130" t="e">
        <v>#N/A</v>
      </c>
      <c r="D19" s="130" t="e">
        <v>#N/A</v>
      </c>
      <c r="E19" s="130" t="e">
        <v>#N/A</v>
      </c>
      <c r="F19" s="130" t="e">
        <v>#N/A</v>
      </c>
    </row>
    <row r="20" spans="1:14" ht="15">
      <c r="A20" s="129">
        <v>2003</v>
      </c>
      <c r="B20" s="89">
        <v>248461</v>
      </c>
      <c r="C20" s="131" t="e">
        <v>#N/A</v>
      </c>
      <c r="D20" s="131" t="e">
        <v>#N/A</v>
      </c>
      <c r="E20" s="131" t="e">
        <v>#N/A</v>
      </c>
      <c r="F20" s="131" t="e">
        <v>#N/A</v>
      </c>
      <c r="J20" s="70"/>
      <c r="K20" s="70"/>
      <c r="L20" s="70"/>
      <c r="M20" s="70"/>
      <c r="N20" s="70"/>
    </row>
    <row r="21" spans="1:6" ht="15">
      <c r="A21" s="128">
        <v>2004</v>
      </c>
      <c r="B21" s="87">
        <v>251540</v>
      </c>
      <c r="C21" s="130" t="e">
        <v>#N/A</v>
      </c>
      <c r="D21" s="130" t="e">
        <v>#N/A</v>
      </c>
      <c r="E21" s="130" t="e">
        <v>#N/A</v>
      </c>
      <c r="F21" s="130" t="e">
        <v>#N/A</v>
      </c>
    </row>
    <row r="22" spans="1:6" ht="15">
      <c r="A22" s="129">
        <v>2005</v>
      </c>
      <c r="B22" s="89">
        <v>254546</v>
      </c>
      <c r="C22" s="131" t="e">
        <v>#N/A</v>
      </c>
      <c r="D22" s="131" t="e">
        <v>#N/A</v>
      </c>
      <c r="E22" s="131" t="e">
        <v>#N/A</v>
      </c>
      <c r="F22" s="131" t="e">
        <v>#N/A</v>
      </c>
    </row>
    <row r="23" spans="1:6" ht="15">
      <c r="A23" s="128">
        <v>2006</v>
      </c>
      <c r="B23" s="87">
        <v>257765</v>
      </c>
      <c r="C23" s="130" t="e">
        <v>#N/A</v>
      </c>
      <c r="D23" s="130" t="e">
        <v>#N/A</v>
      </c>
      <c r="E23" s="130" t="e">
        <v>#N/A</v>
      </c>
      <c r="F23" s="130" t="e">
        <v>#N/A</v>
      </c>
    </row>
    <row r="24" spans="1:6" ht="15">
      <c r="A24" s="129">
        <v>2007</v>
      </c>
      <c r="B24" s="89">
        <v>260740</v>
      </c>
      <c r="C24" s="131">
        <v>260740</v>
      </c>
      <c r="D24" s="131">
        <v>260740</v>
      </c>
      <c r="E24" s="131">
        <v>260740</v>
      </c>
      <c r="F24" s="131">
        <v>260740</v>
      </c>
    </row>
    <row r="25" spans="1:6" ht="15">
      <c r="A25" s="128">
        <v>2008</v>
      </c>
      <c r="B25" s="87"/>
      <c r="C25" s="130">
        <v>263885</v>
      </c>
      <c r="D25" s="130">
        <v>263679</v>
      </c>
      <c r="E25" s="130">
        <v>262857</v>
      </c>
      <c r="F25" s="130">
        <v>263616</v>
      </c>
    </row>
    <row r="26" spans="1:6" ht="15">
      <c r="A26" s="129">
        <v>2009</v>
      </c>
      <c r="B26" s="89"/>
      <c r="C26" s="131">
        <v>267067</v>
      </c>
      <c r="D26" s="131">
        <v>266653</v>
      </c>
      <c r="E26" s="131">
        <v>264997</v>
      </c>
      <c r="F26" s="131">
        <v>266403</v>
      </c>
    </row>
    <row r="27" spans="1:6" ht="15">
      <c r="A27" s="128">
        <v>2010</v>
      </c>
      <c r="B27" s="87"/>
      <c r="C27" s="130">
        <v>270259</v>
      </c>
      <c r="D27" s="130">
        <v>269634</v>
      </c>
      <c r="E27" s="130">
        <v>267133</v>
      </c>
      <c r="F27" s="130">
        <v>269070</v>
      </c>
    </row>
    <row r="28" spans="1:6" ht="15">
      <c r="A28" s="129">
        <v>2011</v>
      </c>
      <c r="B28" s="89"/>
      <c r="C28" s="131">
        <v>273455</v>
      </c>
      <c r="D28" s="131">
        <v>272616</v>
      </c>
      <c r="E28" s="131">
        <v>269260</v>
      </c>
      <c r="F28" s="131">
        <v>271611</v>
      </c>
    </row>
    <row r="29" spans="1:6" ht="15">
      <c r="A29" s="128">
        <v>2012</v>
      </c>
      <c r="B29" s="87"/>
      <c r="C29" s="130">
        <v>276649</v>
      </c>
      <c r="D29" s="130">
        <v>275594</v>
      </c>
      <c r="E29" s="130">
        <v>271373</v>
      </c>
      <c r="F29" s="130">
        <v>274020</v>
      </c>
    </row>
    <row r="30" spans="1:6" ht="15">
      <c r="A30" s="129">
        <v>2013</v>
      </c>
      <c r="B30" s="89"/>
      <c r="C30" s="131">
        <v>279838</v>
      </c>
      <c r="D30" s="131">
        <v>278564</v>
      </c>
      <c r="E30" s="131">
        <v>273468</v>
      </c>
      <c r="F30" s="131">
        <v>276416</v>
      </c>
    </row>
    <row r="31" spans="1:6" ht="15">
      <c r="A31" s="128">
        <v>2014</v>
      </c>
      <c r="B31" s="87"/>
      <c r="C31" s="130">
        <v>283018</v>
      </c>
      <c r="D31" s="130">
        <v>281522</v>
      </c>
      <c r="E31" s="130">
        <v>275540</v>
      </c>
      <c r="F31" s="130">
        <v>278917</v>
      </c>
    </row>
    <row r="32" spans="1:6" ht="15">
      <c r="A32" s="129">
        <v>2015</v>
      </c>
      <c r="B32" s="89"/>
      <c r="C32" s="131">
        <v>286181</v>
      </c>
      <c r="D32" s="131">
        <v>284462</v>
      </c>
      <c r="E32" s="131">
        <v>277584</v>
      </c>
      <c r="F32" s="131">
        <v>281517</v>
      </c>
    </row>
    <row r="33" spans="1:6" ht="15">
      <c r="A33" s="128">
        <v>2016</v>
      </c>
      <c r="B33" s="87"/>
      <c r="C33" s="130">
        <v>289324</v>
      </c>
      <c r="D33" s="130">
        <v>287378</v>
      </c>
      <c r="E33" s="130">
        <v>279594</v>
      </c>
      <c r="F33" s="130">
        <v>284214</v>
      </c>
    </row>
    <row r="34" spans="1:6" ht="15">
      <c r="A34" s="129">
        <v>2017</v>
      </c>
      <c r="B34" s="89"/>
      <c r="C34" s="131">
        <v>292416</v>
      </c>
      <c r="D34" s="131">
        <v>290241</v>
      </c>
      <c r="E34" s="131">
        <v>281542</v>
      </c>
      <c r="F34" s="131">
        <v>286979</v>
      </c>
    </row>
    <row r="35" spans="1:6" ht="15">
      <c r="A35" s="128">
        <v>2018</v>
      </c>
      <c r="B35" s="87"/>
      <c r="C35" s="130">
        <v>295471</v>
      </c>
      <c r="D35" s="130">
        <v>293065</v>
      </c>
      <c r="E35" s="130">
        <v>283441</v>
      </c>
      <c r="F35" s="130">
        <v>289764</v>
      </c>
    </row>
    <row r="36" spans="1:6" ht="15">
      <c r="A36" s="129">
        <v>2019</v>
      </c>
      <c r="B36" s="89"/>
      <c r="C36" s="131">
        <v>298487</v>
      </c>
      <c r="D36" s="131">
        <v>295848</v>
      </c>
      <c r="E36" s="131">
        <v>285288</v>
      </c>
      <c r="F36" s="131">
        <v>292509</v>
      </c>
    </row>
    <row r="37" spans="1:6" ht="15">
      <c r="A37" s="128">
        <v>2020</v>
      </c>
      <c r="B37" s="87"/>
      <c r="C37" s="130">
        <v>301460</v>
      </c>
      <c r="D37" s="130">
        <v>298584</v>
      </c>
      <c r="E37" s="130">
        <v>287080</v>
      </c>
      <c r="F37" s="130">
        <v>295208</v>
      </c>
    </row>
    <row r="38" spans="1:6" ht="15">
      <c r="A38" s="129">
        <v>2021</v>
      </c>
      <c r="B38" s="89"/>
      <c r="C38" s="131">
        <v>304385</v>
      </c>
      <c r="D38" s="131">
        <v>301270</v>
      </c>
      <c r="E38" s="131">
        <v>288811</v>
      </c>
      <c r="F38" s="131">
        <v>297856</v>
      </c>
    </row>
    <row r="39" spans="1:6" ht="15">
      <c r="A39" s="128">
        <v>2022</v>
      </c>
      <c r="B39" s="87"/>
      <c r="C39" s="130">
        <v>307254</v>
      </c>
      <c r="D39" s="130">
        <v>303899</v>
      </c>
      <c r="E39" s="130">
        <v>290476</v>
      </c>
      <c r="F39" s="130">
        <v>300447</v>
      </c>
    </row>
    <row r="40" spans="1:6" ht="15">
      <c r="A40" s="129">
        <v>2023</v>
      </c>
      <c r="B40" s="89"/>
      <c r="C40" s="131">
        <v>310060</v>
      </c>
      <c r="D40" s="131">
        <v>306461</v>
      </c>
      <c r="E40" s="131">
        <v>292065</v>
      </c>
      <c r="F40" s="131">
        <v>302973</v>
      </c>
    </row>
    <row r="41" spans="1:6" ht="15">
      <c r="A41" s="128">
        <v>2024</v>
      </c>
      <c r="B41" s="87"/>
      <c r="C41" s="130">
        <v>312799</v>
      </c>
      <c r="D41" s="130">
        <v>308955</v>
      </c>
      <c r="E41" s="130">
        <v>293577</v>
      </c>
      <c r="F41" s="130">
        <v>305431</v>
      </c>
    </row>
    <row r="42" spans="1:6" ht="15">
      <c r="A42" s="129">
        <v>2025</v>
      </c>
      <c r="B42" s="89"/>
      <c r="C42" s="131">
        <v>315470</v>
      </c>
      <c r="D42" s="131">
        <v>311377</v>
      </c>
      <c r="E42" s="131">
        <v>295008</v>
      </c>
      <c r="F42" s="131">
        <v>307818</v>
      </c>
    </row>
    <row r="43" spans="1:6" ht="15">
      <c r="A43" s="128">
        <v>2026</v>
      </c>
      <c r="B43" s="87"/>
      <c r="C43" s="130">
        <v>318071</v>
      </c>
      <c r="D43" s="130">
        <v>313728</v>
      </c>
      <c r="E43" s="130">
        <v>296358</v>
      </c>
      <c r="F43" s="130">
        <v>310133</v>
      </c>
    </row>
    <row r="44" spans="1:6" ht="15">
      <c r="A44" s="129">
        <v>2027</v>
      </c>
      <c r="B44" s="89"/>
      <c r="C44" s="131">
        <v>320603</v>
      </c>
      <c r="D44" s="131">
        <v>316008</v>
      </c>
      <c r="E44" s="131">
        <v>297628</v>
      </c>
      <c r="F44" s="131">
        <v>312378</v>
      </c>
    </row>
    <row r="45" spans="2:6" ht="15">
      <c r="B45" s="71"/>
      <c r="C45" s="73"/>
      <c r="D45" s="73"/>
      <c r="E45" s="71"/>
      <c r="F45" s="71"/>
    </row>
    <row r="46" spans="2:6" ht="15">
      <c r="B46" s="71"/>
      <c r="C46" s="73"/>
      <c r="D46" s="73"/>
      <c r="E46" s="71"/>
      <c r="F46" s="71"/>
    </row>
    <row r="47" spans="2:6" ht="15">
      <c r="B47" s="71"/>
      <c r="C47" s="73"/>
      <c r="D47" s="73"/>
      <c r="E47" s="71"/>
      <c r="F47" s="71"/>
    </row>
    <row r="48" spans="2:6" ht="15">
      <c r="B48" s="71"/>
      <c r="C48" s="73"/>
      <c r="D48" s="73"/>
      <c r="E48" s="71"/>
      <c r="F48" s="71"/>
    </row>
    <row r="49" spans="2:6" ht="15">
      <c r="B49" s="71"/>
      <c r="C49" s="73"/>
      <c r="D49" s="73"/>
      <c r="E49" s="71"/>
      <c r="F49" s="71"/>
    </row>
    <row r="50" spans="2:6" ht="15">
      <c r="B50" s="71"/>
      <c r="C50" s="73"/>
      <c r="D50" s="73"/>
      <c r="E50" s="71"/>
      <c r="F50" s="71"/>
    </row>
    <row r="51" spans="3:6" ht="15">
      <c r="C51" s="74"/>
      <c r="D51" s="74"/>
      <c r="E51" s="72"/>
      <c r="F51" s="72"/>
    </row>
    <row r="52" spans="3:6" ht="15">
      <c r="C52" s="74"/>
      <c r="D52" s="74"/>
      <c r="E52" s="72"/>
      <c r="F52" s="7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11.8515625" style="222" customWidth="1"/>
    <col min="2" max="22" width="14.8515625" style="0" bestFit="1" customWidth="1"/>
  </cols>
  <sheetData>
    <row r="1" ht="23.25">
      <c r="A1" s="231" t="s">
        <v>133</v>
      </c>
    </row>
    <row r="3" spans="1:22" s="230" customFormat="1" ht="18.75">
      <c r="A3" s="227"/>
      <c r="B3" s="228" t="s">
        <v>47</v>
      </c>
      <c r="C3" s="228" t="s">
        <v>112</v>
      </c>
      <c r="D3" s="228" t="s">
        <v>113</v>
      </c>
      <c r="E3" s="228" t="s">
        <v>114</v>
      </c>
      <c r="F3" s="228" t="s">
        <v>115</v>
      </c>
      <c r="G3" s="228" t="s">
        <v>116</v>
      </c>
      <c r="H3" s="228" t="s">
        <v>117</v>
      </c>
      <c r="I3" s="228" t="s">
        <v>118</v>
      </c>
      <c r="J3" s="228" t="s">
        <v>119</v>
      </c>
      <c r="K3" s="228" t="s">
        <v>120</v>
      </c>
      <c r="L3" s="228" t="s">
        <v>121</v>
      </c>
      <c r="M3" s="228" t="s">
        <v>122</v>
      </c>
      <c r="N3" s="228" t="s">
        <v>123</v>
      </c>
      <c r="O3" s="228" t="s">
        <v>124</v>
      </c>
      <c r="P3" s="228" t="s">
        <v>125</v>
      </c>
      <c r="Q3" s="228" t="s">
        <v>126</v>
      </c>
      <c r="R3" s="228" t="s">
        <v>127</v>
      </c>
      <c r="S3" s="228" t="s">
        <v>128</v>
      </c>
      <c r="T3" s="228" t="s">
        <v>129</v>
      </c>
      <c r="U3" s="228" t="s">
        <v>130</v>
      </c>
      <c r="V3" s="229" t="s">
        <v>46</v>
      </c>
    </row>
    <row r="4" spans="1:22" s="75" customFormat="1" ht="18.75">
      <c r="A4" s="217" t="s">
        <v>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216"/>
    </row>
    <row r="5" spans="1:22" ht="15">
      <c r="A5" s="136" t="s">
        <v>95</v>
      </c>
      <c r="B5" s="223">
        <v>21750</v>
      </c>
      <c r="C5" s="223">
        <v>21815</v>
      </c>
      <c r="D5" s="223">
        <v>21914</v>
      </c>
      <c r="E5" s="223">
        <v>22043</v>
      </c>
      <c r="F5" s="223">
        <v>22198</v>
      </c>
      <c r="G5" s="223">
        <v>22376</v>
      </c>
      <c r="H5" s="223">
        <v>22506</v>
      </c>
      <c r="I5" s="223">
        <v>22616</v>
      </c>
      <c r="J5" s="223">
        <v>22703</v>
      </c>
      <c r="K5" s="223">
        <v>22767</v>
      </c>
      <c r="L5" s="223">
        <v>22785</v>
      </c>
      <c r="M5" s="223">
        <v>22778</v>
      </c>
      <c r="N5" s="223">
        <v>22745</v>
      </c>
      <c r="O5" s="223">
        <v>22690</v>
      </c>
      <c r="P5" s="223">
        <v>22611</v>
      </c>
      <c r="Q5" s="223">
        <v>22530</v>
      </c>
      <c r="R5" s="223">
        <v>22423</v>
      </c>
      <c r="S5" s="223">
        <v>22289</v>
      </c>
      <c r="T5" s="223">
        <v>22131</v>
      </c>
      <c r="U5" s="223">
        <v>21952</v>
      </c>
      <c r="V5" s="224">
        <v>21758</v>
      </c>
    </row>
    <row r="6" spans="1:22" ht="15">
      <c r="A6" s="218" t="s">
        <v>96</v>
      </c>
      <c r="B6" s="225">
        <v>23323</v>
      </c>
      <c r="C6" s="225">
        <v>22944</v>
      </c>
      <c r="D6" s="225">
        <v>22557</v>
      </c>
      <c r="E6" s="225">
        <v>22196</v>
      </c>
      <c r="F6" s="225">
        <v>21901</v>
      </c>
      <c r="G6" s="225">
        <v>21705</v>
      </c>
      <c r="H6" s="225">
        <v>21772</v>
      </c>
      <c r="I6" s="225">
        <v>21873</v>
      </c>
      <c r="J6" s="225">
        <v>22004</v>
      </c>
      <c r="K6" s="225">
        <v>22163</v>
      </c>
      <c r="L6" s="225">
        <v>22342</v>
      </c>
      <c r="M6" s="225">
        <v>22474</v>
      </c>
      <c r="N6" s="225">
        <v>22586</v>
      </c>
      <c r="O6" s="225">
        <v>22676</v>
      </c>
      <c r="P6" s="225">
        <v>22742</v>
      </c>
      <c r="Q6" s="225">
        <v>22762</v>
      </c>
      <c r="R6" s="225">
        <v>22754</v>
      </c>
      <c r="S6" s="225">
        <v>22724</v>
      </c>
      <c r="T6" s="225">
        <v>22671</v>
      </c>
      <c r="U6" s="225">
        <v>22593</v>
      </c>
      <c r="V6" s="226">
        <v>22514</v>
      </c>
    </row>
    <row r="7" spans="1:22" ht="15">
      <c r="A7" s="219" t="s">
        <v>111</v>
      </c>
      <c r="B7" s="223">
        <v>23889</v>
      </c>
      <c r="C7" s="223">
        <v>23606</v>
      </c>
      <c r="D7" s="223">
        <v>23500</v>
      </c>
      <c r="E7" s="223">
        <v>23487</v>
      </c>
      <c r="F7" s="223">
        <v>23449</v>
      </c>
      <c r="G7" s="223">
        <v>23300</v>
      </c>
      <c r="H7" s="223">
        <v>22923</v>
      </c>
      <c r="I7" s="223">
        <v>22536</v>
      </c>
      <c r="J7" s="223">
        <v>22176</v>
      </c>
      <c r="K7" s="223">
        <v>21884</v>
      </c>
      <c r="L7" s="223">
        <v>21688</v>
      </c>
      <c r="M7" s="223">
        <v>21756</v>
      </c>
      <c r="N7" s="223">
        <v>21858</v>
      </c>
      <c r="O7" s="223">
        <v>21990</v>
      </c>
      <c r="P7" s="223">
        <v>22148</v>
      </c>
      <c r="Q7" s="223">
        <v>22329</v>
      </c>
      <c r="R7" s="223">
        <v>22461</v>
      </c>
      <c r="S7" s="223">
        <v>22574</v>
      </c>
      <c r="T7" s="223">
        <v>22664</v>
      </c>
      <c r="U7" s="223">
        <v>22731</v>
      </c>
      <c r="V7" s="224">
        <v>22751</v>
      </c>
    </row>
    <row r="8" spans="1:22" ht="15">
      <c r="A8" s="218" t="s">
        <v>97</v>
      </c>
      <c r="B8" s="225">
        <v>26329</v>
      </c>
      <c r="C8" s="225">
        <v>26170</v>
      </c>
      <c r="D8" s="225">
        <v>25685</v>
      </c>
      <c r="E8" s="225">
        <v>25015</v>
      </c>
      <c r="F8" s="225">
        <v>24360</v>
      </c>
      <c r="G8" s="225">
        <v>23862</v>
      </c>
      <c r="H8" s="225">
        <v>23582</v>
      </c>
      <c r="I8" s="225">
        <v>23477</v>
      </c>
      <c r="J8" s="225">
        <v>23466</v>
      </c>
      <c r="K8" s="225">
        <v>23429</v>
      </c>
      <c r="L8" s="225">
        <v>23282</v>
      </c>
      <c r="M8" s="225">
        <v>22906</v>
      </c>
      <c r="N8" s="225">
        <v>22521</v>
      </c>
      <c r="O8" s="225">
        <v>22163</v>
      </c>
      <c r="P8" s="225">
        <v>21872</v>
      </c>
      <c r="Q8" s="225">
        <v>21677</v>
      </c>
      <c r="R8" s="225">
        <v>21746</v>
      </c>
      <c r="S8" s="225">
        <v>21849</v>
      </c>
      <c r="T8" s="225">
        <v>21981</v>
      </c>
      <c r="U8" s="225">
        <v>22141</v>
      </c>
      <c r="V8" s="226">
        <v>22323</v>
      </c>
    </row>
    <row r="9" spans="1:22" ht="15">
      <c r="A9" s="136" t="s">
        <v>98</v>
      </c>
      <c r="B9" s="223">
        <v>23024</v>
      </c>
      <c r="C9" s="223">
        <v>23925</v>
      </c>
      <c r="D9" s="223">
        <v>24800</v>
      </c>
      <c r="E9" s="223">
        <v>25554</v>
      </c>
      <c r="F9" s="223">
        <v>26073</v>
      </c>
      <c r="G9" s="223">
        <v>26281</v>
      </c>
      <c r="H9" s="223">
        <v>26126</v>
      </c>
      <c r="I9" s="223">
        <v>25644</v>
      </c>
      <c r="J9" s="223">
        <v>24977</v>
      </c>
      <c r="K9" s="223">
        <v>24326</v>
      </c>
      <c r="L9" s="223">
        <v>23831</v>
      </c>
      <c r="M9" s="223">
        <v>23553</v>
      </c>
      <c r="N9" s="223">
        <v>23452</v>
      </c>
      <c r="O9" s="223">
        <v>23443</v>
      </c>
      <c r="P9" s="223">
        <v>23408</v>
      </c>
      <c r="Q9" s="223">
        <v>23263</v>
      </c>
      <c r="R9" s="223">
        <v>22889</v>
      </c>
      <c r="S9" s="223">
        <v>22506</v>
      </c>
      <c r="T9" s="223">
        <v>22149</v>
      </c>
      <c r="U9" s="223">
        <v>21859</v>
      </c>
      <c r="V9" s="224">
        <v>21666</v>
      </c>
    </row>
    <row r="10" spans="1:22" ht="15">
      <c r="A10" s="218" t="s">
        <v>99</v>
      </c>
      <c r="B10" s="225">
        <v>19148</v>
      </c>
      <c r="C10" s="225">
        <v>19560</v>
      </c>
      <c r="D10" s="225">
        <v>20238</v>
      </c>
      <c r="E10" s="225">
        <v>21104</v>
      </c>
      <c r="F10" s="225">
        <v>22046</v>
      </c>
      <c r="G10" s="225">
        <v>22969</v>
      </c>
      <c r="H10" s="225">
        <v>23871</v>
      </c>
      <c r="I10" s="225">
        <v>24747</v>
      </c>
      <c r="J10" s="225">
        <v>25504</v>
      </c>
      <c r="K10" s="225">
        <v>26024</v>
      </c>
      <c r="L10" s="225">
        <v>26236</v>
      </c>
      <c r="M10" s="225">
        <v>26083</v>
      </c>
      <c r="N10" s="225">
        <v>25605</v>
      </c>
      <c r="O10" s="225">
        <v>24942</v>
      </c>
      <c r="P10" s="225">
        <v>24293</v>
      </c>
      <c r="Q10" s="225">
        <v>23803</v>
      </c>
      <c r="R10" s="225">
        <v>23528</v>
      </c>
      <c r="S10" s="225">
        <v>23429</v>
      </c>
      <c r="T10" s="225">
        <v>23423</v>
      </c>
      <c r="U10" s="225">
        <v>23390</v>
      </c>
      <c r="V10" s="226">
        <v>23247</v>
      </c>
    </row>
    <row r="11" spans="1:22" ht="15">
      <c r="A11" s="136" t="s">
        <v>100</v>
      </c>
      <c r="B11" s="223">
        <v>20309</v>
      </c>
      <c r="C11" s="223">
        <v>19934</v>
      </c>
      <c r="D11" s="223">
        <v>19515</v>
      </c>
      <c r="E11" s="223">
        <v>19154</v>
      </c>
      <c r="F11" s="223">
        <v>18983</v>
      </c>
      <c r="G11" s="223">
        <v>19090</v>
      </c>
      <c r="H11" s="223">
        <v>19505</v>
      </c>
      <c r="I11" s="223">
        <v>20185</v>
      </c>
      <c r="J11" s="223">
        <v>21052</v>
      </c>
      <c r="K11" s="223">
        <v>21995</v>
      </c>
      <c r="L11" s="223">
        <v>22920</v>
      </c>
      <c r="M11" s="223">
        <v>23824</v>
      </c>
      <c r="N11" s="223">
        <v>24702</v>
      </c>
      <c r="O11" s="223">
        <v>25460</v>
      </c>
      <c r="P11" s="223">
        <v>25982</v>
      </c>
      <c r="Q11" s="223">
        <v>26197</v>
      </c>
      <c r="R11" s="223">
        <v>26046</v>
      </c>
      <c r="S11" s="223">
        <v>25572</v>
      </c>
      <c r="T11" s="223">
        <v>24913</v>
      </c>
      <c r="U11" s="223">
        <v>24268</v>
      </c>
      <c r="V11" s="224">
        <v>23782</v>
      </c>
    </row>
    <row r="12" spans="1:22" ht="15">
      <c r="A12" s="218" t="s">
        <v>101</v>
      </c>
      <c r="B12" s="225">
        <v>21104</v>
      </c>
      <c r="C12" s="225">
        <v>21042</v>
      </c>
      <c r="D12" s="225">
        <v>20926</v>
      </c>
      <c r="E12" s="225">
        <v>20754</v>
      </c>
      <c r="F12" s="225">
        <v>20518</v>
      </c>
      <c r="G12" s="225">
        <v>20222</v>
      </c>
      <c r="H12" s="225">
        <v>19852</v>
      </c>
      <c r="I12" s="225">
        <v>19440</v>
      </c>
      <c r="J12" s="225">
        <v>19085</v>
      </c>
      <c r="K12" s="225">
        <v>18919</v>
      </c>
      <c r="L12" s="225">
        <v>19030</v>
      </c>
      <c r="M12" s="225">
        <v>19449</v>
      </c>
      <c r="N12" s="225">
        <v>20131</v>
      </c>
      <c r="O12" s="225">
        <v>21001</v>
      </c>
      <c r="P12" s="225">
        <v>21945</v>
      </c>
      <c r="Q12" s="225">
        <v>22872</v>
      </c>
      <c r="R12" s="225">
        <v>23777</v>
      </c>
      <c r="S12" s="225">
        <v>24658</v>
      </c>
      <c r="T12" s="225">
        <v>25418</v>
      </c>
      <c r="U12" s="225">
        <v>25944</v>
      </c>
      <c r="V12" s="226">
        <v>26162</v>
      </c>
    </row>
    <row r="13" spans="1:22" ht="15">
      <c r="A13" s="136" t="s">
        <v>102</v>
      </c>
      <c r="B13" s="223">
        <v>19986</v>
      </c>
      <c r="C13" s="223">
        <v>20440</v>
      </c>
      <c r="D13" s="223">
        <v>20737</v>
      </c>
      <c r="E13" s="223">
        <v>20898</v>
      </c>
      <c r="F13" s="223">
        <v>20962</v>
      </c>
      <c r="G13" s="223">
        <v>20957</v>
      </c>
      <c r="H13" s="223">
        <v>20903</v>
      </c>
      <c r="I13" s="223">
        <v>20795</v>
      </c>
      <c r="J13" s="223">
        <v>20631</v>
      </c>
      <c r="K13" s="223">
        <v>20403</v>
      </c>
      <c r="L13" s="223">
        <v>20115</v>
      </c>
      <c r="M13" s="223">
        <v>19753</v>
      </c>
      <c r="N13" s="223">
        <v>19348</v>
      </c>
      <c r="O13" s="223">
        <v>19000</v>
      </c>
      <c r="P13" s="223">
        <v>18840</v>
      </c>
      <c r="Q13" s="223">
        <v>18958</v>
      </c>
      <c r="R13" s="223">
        <v>19380</v>
      </c>
      <c r="S13" s="223">
        <v>20066</v>
      </c>
      <c r="T13" s="223">
        <v>20939</v>
      </c>
      <c r="U13" s="223">
        <v>21886</v>
      </c>
      <c r="V13" s="224">
        <v>22815</v>
      </c>
    </row>
    <row r="14" spans="1:22" ht="15">
      <c r="A14" s="218" t="s">
        <v>103</v>
      </c>
      <c r="B14" s="225">
        <v>15953</v>
      </c>
      <c r="C14" s="225">
        <v>16643</v>
      </c>
      <c r="D14" s="225">
        <v>17462</v>
      </c>
      <c r="E14" s="225">
        <v>18326</v>
      </c>
      <c r="F14" s="225">
        <v>19119</v>
      </c>
      <c r="G14" s="225">
        <v>19755</v>
      </c>
      <c r="H14" s="225">
        <v>20213</v>
      </c>
      <c r="I14" s="225">
        <v>20516</v>
      </c>
      <c r="J14" s="225">
        <v>20685</v>
      </c>
      <c r="K14" s="225">
        <v>20757</v>
      </c>
      <c r="L14" s="225">
        <v>20763</v>
      </c>
      <c r="M14" s="225">
        <v>20718</v>
      </c>
      <c r="N14" s="225">
        <v>20620</v>
      </c>
      <c r="O14" s="225">
        <v>20466</v>
      </c>
      <c r="P14" s="225">
        <v>20249</v>
      </c>
      <c r="Q14" s="225">
        <v>19970</v>
      </c>
      <c r="R14" s="225">
        <v>19619</v>
      </c>
      <c r="S14" s="225">
        <v>19224</v>
      </c>
      <c r="T14" s="225">
        <v>18886</v>
      </c>
      <c r="U14" s="225">
        <v>18736</v>
      </c>
      <c r="V14" s="226">
        <v>18860</v>
      </c>
    </row>
    <row r="15" spans="1:22" ht="15">
      <c r="A15" s="136" t="s">
        <v>104</v>
      </c>
      <c r="B15" s="223">
        <v>13627</v>
      </c>
      <c r="C15" s="223">
        <v>14076</v>
      </c>
      <c r="D15" s="223">
        <v>14417</v>
      </c>
      <c r="E15" s="223">
        <v>14726</v>
      </c>
      <c r="F15" s="223">
        <v>15106</v>
      </c>
      <c r="G15" s="223">
        <v>15629</v>
      </c>
      <c r="H15" s="223">
        <v>16321</v>
      </c>
      <c r="I15" s="223">
        <v>17139</v>
      </c>
      <c r="J15" s="223">
        <v>18001</v>
      </c>
      <c r="K15" s="223">
        <v>18792</v>
      </c>
      <c r="L15" s="223">
        <v>19431</v>
      </c>
      <c r="M15" s="223">
        <v>19894</v>
      </c>
      <c r="N15" s="223">
        <v>20204</v>
      </c>
      <c r="O15" s="223">
        <v>20382</v>
      </c>
      <c r="P15" s="223">
        <v>20466</v>
      </c>
      <c r="Q15" s="223">
        <v>20484</v>
      </c>
      <c r="R15" s="223">
        <v>20453</v>
      </c>
      <c r="S15" s="223">
        <v>20368</v>
      </c>
      <c r="T15" s="223">
        <v>20229</v>
      </c>
      <c r="U15" s="223">
        <v>20026</v>
      </c>
      <c r="V15" s="224">
        <v>19764</v>
      </c>
    </row>
    <row r="16" spans="1:22" ht="15">
      <c r="A16" s="218" t="s">
        <v>105</v>
      </c>
      <c r="B16" s="225">
        <v>9908</v>
      </c>
      <c r="C16" s="225">
        <v>10492</v>
      </c>
      <c r="D16" s="225">
        <v>11178</v>
      </c>
      <c r="E16" s="225">
        <v>11902</v>
      </c>
      <c r="F16" s="225">
        <v>12580</v>
      </c>
      <c r="G16" s="225">
        <v>13158</v>
      </c>
      <c r="H16" s="225">
        <v>13605</v>
      </c>
      <c r="I16" s="225">
        <v>13949</v>
      </c>
      <c r="J16" s="225">
        <v>14261</v>
      </c>
      <c r="K16" s="225">
        <v>14649</v>
      </c>
      <c r="L16" s="225">
        <v>15177</v>
      </c>
      <c r="M16" s="225">
        <v>15870</v>
      </c>
      <c r="N16" s="225">
        <v>16685</v>
      </c>
      <c r="O16" s="225">
        <v>17543</v>
      </c>
      <c r="P16" s="225">
        <v>18331</v>
      </c>
      <c r="Q16" s="225">
        <v>18969</v>
      </c>
      <c r="R16" s="225">
        <v>19436</v>
      </c>
      <c r="S16" s="225">
        <v>19756</v>
      </c>
      <c r="T16" s="225">
        <v>19948</v>
      </c>
      <c r="U16" s="225">
        <v>20048</v>
      </c>
      <c r="V16" s="226">
        <v>20086</v>
      </c>
    </row>
    <row r="17" spans="1:22" ht="15">
      <c r="A17" s="136" t="s">
        <v>106</v>
      </c>
      <c r="B17" s="223">
        <v>7740</v>
      </c>
      <c r="C17" s="223">
        <v>7979</v>
      </c>
      <c r="D17" s="223">
        <v>8229</v>
      </c>
      <c r="E17" s="223">
        <v>8517</v>
      </c>
      <c r="F17" s="223">
        <v>8879</v>
      </c>
      <c r="G17" s="223">
        <v>9338</v>
      </c>
      <c r="H17" s="223">
        <v>9912</v>
      </c>
      <c r="I17" s="223">
        <v>10580</v>
      </c>
      <c r="J17" s="223">
        <v>11283</v>
      </c>
      <c r="K17" s="223">
        <v>11942</v>
      </c>
      <c r="L17" s="223">
        <v>12505</v>
      </c>
      <c r="M17" s="223">
        <v>12945</v>
      </c>
      <c r="N17" s="223">
        <v>13289</v>
      </c>
      <c r="O17" s="223">
        <v>13608</v>
      </c>
      <c r="P17" s="223">
        <v>14003</v>
      </c>
      <c r="Q17" s="223">
        <v>14534</v>
      </c>
      <c r="R17" s="223">
        <v>15226</v>
      </c>
      <c r="S17" s="223">
        <v>16037</v>
      </c>
      <c r="T17" s="223">
        <v>16887</v>
      </c>
      <c r="U17" s="223">
        <v>17670</v>
      </c>
      <c r="V17" s="224">
        <v>18308</v>
      </c>
    </row>
    <row r="18" spans="1:22" ht="15">
      <c r="A18" s="218" t="s">
        <v>107</v>
      </c>
      <c r="B18" s="225">
        <v>5923</v>
      </c>
      <c r="C18" s="225">
        <v>6122</v>
      </c>
      <c r="D18" s="225">
        <v>6331</v>
      </c>
      <c r="E18" s="225">
        <v>6545</v>
      </c>
      <c r="F18" s="225">
        <v>6768</v>
      </c>
      <c r="G18" s="225">
        <v>7001</v>
      </c>
      <c r="H18" s="225">
        <v>7239</v>
      </c>
      <c r="I18" s="225">
        <v>7486</v>
      </c>
      <c r="J18" s="225">
        <v>7769</v>
      </c>
      <c r="K18" s="225">
        <v>8126</v>
      </c>
      <c r="L18" s="225">
        <v>8573</v>
      </c>
      <c r="M18" s="225">
        <v>9125</v>
      </c>
      <c r="N18" s="225">
        <v>9766</v>
      </c>
      <c r="O18" s="225">
        <v>10437</v>
      </c>
      <c r="P18" s="225">
        <v>11067</v>
      </c>
      <c r="Q18" s="225">
        <v>11608</v>
      </c>
      <c r="R18" s="225">
        <v>12037</v>
      </c>
      <c r="S18" s="225">
        <v>12380</v>
      </c>
      <c r="T18" s="225">
        <v>12706</v>
      </c>
      <c r="U18" s="225">
        <v>13109</v>
      </c>
      <c r="V18" s="226">
        <v>13645</v>
      </c>
    </row>
    <row r="19" spans="1:22" ht="15">
      <c r="A19" s="136" t="s">
        <v>108</v>
      </c>
      <c r="B19" s="223">
        <v>4136</v>
      </c>
      <c r="C19" s="223">
        <v>4321</v>
      </c>
      <c r="D19" s="223">
        <v>4505</v>
      </c>
      <c r="E19" s="223">
        <v>4685</v>
      </c>
      <c r="F19" s="223">
        <v>4865</v>
      </c>
      <c r="G19" s="223">
        <v>5047</v>
      </c>
      <c r="H19" s="223">
        <v>5236</v>
      </c>
      <c r="I19" s="223">
        <v>5432</v>
      </c>
      <c r="J19" s="223">
        <v>5636</v>
      </c>
      <c r="K19" s="223">
        <v>5846</v>
      </c>
      <c r="L19" s="223">
        <v>6068</v>
      </c>
      <c r="M19" s="223">
        <v>6293</v>
      </c>
      <c r="N19" s="223">
        <v>6527</v>
      </c>
      <c r="O19" s="223">
        <v>6797</v>
      </c>
      <c r="P19" s="223">
        <v>7134</v>
      </c>
      <c r="Q19" s="223">
        <v>7552</v>
      </c>
      <c r="R19" s="223">
        <v>8065</v>
      </c>
      <c r="S19" s="223">
        <v>8656</v>
      </c>
      <c r="T19" s="223">
        <v>9273</v>
      </c>
      <c r="U19" s="223">
        <v>9849</v>
      </c>
      <c r="V19" s="224">
        <v>10349</v>
      </c>
    </row>
    <row r="20" spans="1:22" ht="15">
      <c r="A20" s="218" t="s">
        <v>109</v>
      </c>
      <c r="B20" s="225">
        <v>2522</v>
      </c>
      <c r="C20" s="225">
        <v>2668</v>
      </c>
      <c r="D20" s="225">
        <v>2816</v>
      </c>
      <c r="E20" s="225">
        <v>2967</v>
      </c>
      <c r="F20" s="225">
        <v>3119</v>
      </c>
      <c r="G20" s="225">
        <v>3271</v>
      </c>
      <c r="H20" s="225">
        <v>3437</v>
      </c>
      <c r="I20" s="225">
        <v>3598</v>
      </c>
      <c r="J20" s="225">
        <v>3759</v>
      </c>
      <c r="K20" s="225">
        <v>3921</v>
      </c>
      <c r="L20" s="225">
        <v>4087</v>
      </c>
      <c r="M20" s="225">
        <v>4260</v>
      </c>
      <c r="N20" s="225">
        <v>4441</v>
      </c>
      <c r="O20" s="225">
        <v>4629</v>
      </c>
      <c r="P20" s="225">
        <v>4827</v>
      </c>
      <c r="Q20" s="225">
        <v>5034</v>
      </c>
      <c r="R20" s="225">
        <v>5246</v>
      </c>
      <c r="S20" s="225">
        <v>5469</v>
      </c>
      <c r="T20" s="225">
        <v>5726</v>
      </c>
      <c r="U20" s="225">
        <v>6043</v>
      </c>
      <c r="V20" s="226">
        <v>6434</v>
      </c>
    </row>
    <row r="21" spans="1:22" ht="15">
      <c r="A21" s="136" t="s">
        <v>110</v>
      </c>
      <c r="B21" s="223">
        <v>2069</v>
      </c>
      <c r="C21" s="223">
        <v>2148</v>
      </c>
      <c r="D21" s="223">
        <v>2260</v>
      </c>
      <c r="E21" s="223">
        <v>2390</v>
      </c>
      <c r="F21" s="223">
        <v>2534</v>
      </c>
      <c r="G21" s="223">
        <v>2686</v>
      </c>
      <c r="H21" s="223">
        <v>2837</v>
      </c>
      <c r="I21" s="223">
        <v>3007</v>
      </c>
      <c r="J21" s="223">
        <v>3190</v>
      </c>
      <c r="K21" s="223">
        <v>3383</v>
      </c>
      <c r="L21" s="223">
        <v>3582</v>
      </c>
      <c r="M21" s="223">
        <v>3789</v>
      </c>
      <c r="N21" s="223">
        <v>4007</v>
      </c>
      <c r="O21" s="223">
        <v>4234</v>
      </c>
      <c r="P21" s="223">
        <v>4471</v>
      </c>
      <c r="Q21" s="223">
        <v>4716</v>
      </c>
      <c r="R21" s="223">
        <v>4973</v>
      </c>
      <c r="S21" s="223">
        <v>5244</v>
      </c>
      <c r="T21" s="223">
        <v>5529</v>
      </c>
      <c r="U21" s="223">
        <v>5827</v>
      </c>
      <c r="V21" s="224">
        <v>6141</v>
      </c>
    </row>
    <row r="22" spans="1:22" ht="15">
      <c r="A22" s="218" t="s">
        <v>40</v>
      </c>
      <c r="B22" s="225">
        <v>260740</v>
      </c>
      <c r="C22" s="225">
        <v>263885</v>
      </c>
      <c r="D22" s="225">
        <v>267070</v>
      </c>
      <c r="E22" s="225">
        <v>270263</v>
      </c>
      <c r="F22" s="225">
        <v>273460</v>
      </c>
      <c r="G22" s="225">
        <v>276647</v>
      </c>
      <c r="H22" s="225">
        <v>279840</v>
      </c>
      <c r="I22" s="225">
        <v>283020</v>
      </c>
      <c r="J22" s="225">
        <v>286182</v>
      </c>
      <c r="K22" s="225">
        <v>289326</v>
      </c>
      <c r="L22" s="225">
        <v>292415</v>
      </c>
      <c r="M22" s="225">
        <v>295470</v>
      </c>
      <c r="N22" s="225">
        <v>298487</v>
      </c>
      <c r="O22" s="225">
        <v>301461</v>
      </c>
      <c r="P22" s="225">
        <v>304389</v>
      </c>
      <c r="Q22" s="225">
        <v>307258</v>
      </c>
      <c r="R22" s="225">
        <v>310059</v>
      </c>
      <c r="S22" s="225">
        <v>312801</v>
      </c>
      <c r="T22" s="225">
        <v>315473</v>
      </c>
      <c r="U22" s="225">
        <v>318072</v>
      </c>
      <c r="V22" s="226">
        <v>320605</v>
      </c>
    </row>
    <row r="23" spans="1:22" ht="18.75">
      <c r="A23" s="220" t="s">
        <v>63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4"/>
    </row>
    <row r="24" spans="1:22" ht="15">
      <c r="A24" s="218" t="s">
        <v>95</v>
      </c>
      <c r="B24" s="225">
        <v>11193</v>
      </c>
      <c r="C24" s="225">
        <v>11227</v>
      </c>
      <c r="D24" s="225">
        <v>11278</v>
      </c>
      <c r="E24" s="225">
        <v>11345</v>
      </c>
      <c r="F24" s="225">
        <v>11424</v>
      </c>
      <c r="G24" s="225">
        <v>11515</v>
      </c>
      <c r="H24" s="225">
        <v>11580</v>
      </c>
      <c r="I24" s="225">
        <v>11635</v>
      </c>
      <c r="J24" s="225">
        <v>11678</v>
      </c>
      <c r="K24" s="225">
        <v>11709</v>
      </c>
      <c r="L24" s="225">
        <v>11716</v>
      </c>
      <c r="M24" s="225">
        <v>11710</v>
      </c>
      <c r="N24" s="225">
        <v>11690</v>
      </c>
      <c r="O24" s="225">
        <v>11659</v>
      </c>
      <c r="P24" s="225">
        <v>11615</v>
      </c>
      <c r="Q24" s="225">
        <v>11569</v>
      </c>
      <c r="R24" s="225">
        <v>11511</v>
      </c>
      <c r="S24" s="225">
        <v>11439</v>
      </c>
      <c r="T24" s="225">
        <v>11354</v>
      </c>
      <c r="U24" s="225">
        <v>11259</v>
      </c>
      <c r="V24" s="226">
        <v>11156</v>
      </c>
    </row>
    <row r="25" spans="1:22" ht="15">
      <c r="A25" s="136" t="s">
        <v>96</v>
      </c>
      <c r="B25" s="223">
        <v>11890</v>
      </c>
      <c r="C25" s="223">
        <v>11709</v>
      </c>
      <c r="D25" s="223">
        <v>11530</v>
      </c>
      <c r="E25" s="223">
        <v>11368</v>
      </c>
      <c r="F25" s="223">
        <v>11243</v>
      </c>
      <c r="G25" s="223">
        <v>11169</v>
      </c>
      <c r="H25" s="223">
        <v>11204</v>
      </c>
      <c r="I25" s="223">
        <v>11257</v>
      </c>
      <c r="J25" s="223">
        <v>11324</v>
      </c>
      <c r="K25" s="223">
        <v>11406</v>
      </c>
      <c r="L25" s="223">
        <v>11497</v>
      </c>
      <c r="M25" s="223">
        <v>11564</v>
      </c>
      <c r="N25" s="223">
        <v>11620</v>
      </c>
      <c r="O25" s="223">
        <v>11664</v>
      </c>
      <c r="P25" s="223">
        <v>11696</v>
      </c>
      <c r="Q25" s="223">
        <v>11704</v>
      </c>
      <c r="R25" s="223">
        <v>11697</v>
      </c>
      <c r="S25" s="223">
        <v>11679</v>
      </c>
      <c r="T25" s="223">
        <v>11648</v>
      </c>
      <c r="U25" s="223">
        <v>11604</v>
      </c>
      <c r="V25" s="224">
        <v>11560</v>
      </c>
    </row>
    <row r="26" spans="1:22" ht="15">
      <c r="A26" s="221" t="s">
        <v>111</v>
      </c>
      <c r="B26" s="225">
        <v>12317</v>
      </c>
      <c r="C26" s="225">
        <v>12139</v>
      </c>
      <c r="D26" s="225">
        <v>12052</v>
      </c>
      <c r="E26" s="225">
        <v>12016</v>
      </c>
      <c r="F26" s="225">
        <v>11971</v>
      </c>
      <c r="G26" s="225">
        <v>11876</v>
      </c>
      <c r="H26" s="225">
        <v>11696</v>
      </c>
      <c r="I26" s="225">
        <v>11517</v>
      </c>
      <c r="J26" s="225">
        <v>11356</v>
      </c>
      <c r="K26" s="225">
        <v>11233</v>
      </c>
      <c r="L26" s="225">
        <v>11159</v>
      </c>
      <c r="M26" s="225">
        <v>11195</v>
      </c>
      <c r="N26" s="225">
        <v>11248</v>
      </c>
      <c r="O26" s="225">
        <v>11316</v>
      </c>
      <c r="P26" s="225">
        <v>11397</v>
      </c>
      <c r="Q26" s="225">
        <v>11490</v>
      </c>
      <c r="R26" s="225">
        <v>11556</v>
      </c>
      <c r="S26" s="225">
        <v>11612</v>
      </c>
      <c r="T26" s="225">
        <v>11657</v>
      </c>
      <c r="U26" s="225">
        <v>11689</v>
      </c>
      <c r="V26" s="226">
        <v>11697</v>
      </c>
    </row>
    <row r="27" spans="1:22" ht="15">
      <c r="A27" s="136" t="s">
        <v>97</v>
      </c>
      <c r="B27" s="223">
        <v>13621</v>
      </c>
      <c r="C27" s="223">
        <v>13577</v>
      </c>
      <c r="D27" s="223">
        <v>13330</v>
      </c>
      <c r="E27" s="223">
        <v>12962</v>
      </c>
      <c r="F27" s="223">
        <v>12590</v>
      </c>
      <c r="G27" s="223">
        <v>12299</v>
      </c>
      <c r="H27" s="223">
        <v>12123</v>
      </c>
      <c r="I27" s="223">
        <v>12037</v>
      </c>
      <c r="J27" s="223">
        <v>12002</v>
      </c>
      <c r="K27" s="223">
        <v>11958</v>
      </c>
      <c r="L27" s="223">
        <v>11864</v>
      </c>
      <c r="M27" s="223">
        <v>11685</v>
      </c>
      <c r="N27" s="223">
        <v>11507</v>
      </c>
      <c r="O27" s="223">
        <v>11347</v>
      </c>
      <c r="P27" s="223">
        <v>11224</v>
      </c>
      <c r="Q27" s="223">
        <v>11151</v>
      </c>
      <c r="R27" s="223">
        <v>11187</v>
      </c>
      <c r="S27" s="223">
        <v>11241</v>
      </c>
      <c r="T27" s="223">
        <v>11309</v>
      </c>
      <c r="U27" s="223">
        <v>11391</v>
      </c>
      <c r="V27" s="224">
        <v>11484</v>
      </c>
    </row>
    <row r="28" spans="1:22" ht="15">
      <c r="A28" s="218" t="s">
        <v>98</v>
      </c>
      <c r="B28" s="225">
        <v>11444</v>
      </c>
      <c r="C28" s="225">
        <v>11955</v>
      </c>
      <c r="D28" s="225">
        <v>12504</v>
      </c>
      <c r="E28" s="225">
        <v>13018</v>
      </c>
      <c r="F28" s="225">
        <v>13401</v>
      </c>
      <c r="G28" s="225">
        <v>13589</v>
      </c>
      <c r="H28" s="225">
        <v>13547</v>
      </c>
      <c r="I28" s="225">
        <v>13302</v>
      </c>
      <c r="J28" s="225">
        <v>12936</v>
      </c>
      <c r="K28" s="225">
        <v>12567</v>
      </c>
      <c r="L28" s="225">
        <v>12278</v>
      </c>
      <c r="M28" s="225">
        <v>12103</v>
      </c>
      <c r="N28" s="225">
        <v>12020</v>
      </c>
      <c r="O28" s="225">
        <v>11986</v>
      </c>
      <c r="P28" s="225">
        <v>11943</v>
      </c>
      <c r="Q28" s="225">
        <v>11850</v>
      </c>
      <c r="R28" s="225">
        <v>11672</v>
      </c>
      <c r="S28" s="225">
        <v>11495</v>
      </c>
      <c r="T28" s="225">
        <v>11336</v>
      </c>
      <c r="U28" s="225">
        <v>11213</v>
      </c>
      <c r="V28" s="226">
        <v>11141</v>
      </c>
    </row>
    <row r="29" spans="1:22" ht="15">
      <c r="A29" s="136" t="s">
        <v>99</v>
      </c>
      <c r="B29" s="223">
        <v>9779</v>
      </c>
      <c r="C29" s="223">
        <v>9931</v>
      </c>
      <c r="D29" s="223">
        <v>10188</v>
      </c>
      <c r="E29" s="223">
        <v>10535</v>
      </c>
      <c r="F29" s="223">
        <v>10950</v>
      </c>
      <c r="G29" s="223">
        <v>11409</v>
      </c>
      <c r="H29" s="223">
        <v>11920</v>
      </c>
      <c r="I29" s="223">
        <v>12470</v>
      </c>
      <c r="J29" s="223">
        <v>12985</v>
      </c>
      <c r="K29" s="223">
        <v>13369</v>
      </c>
      <c r="L29" s="223">
        <v>13559</v>
      </c>
      <c r="M29" s="223">
        <v>13518</v>
      </c>
      <c r="N29" s="223">
        <v>13276</v>
      </c>
      <c r="O29" s="223">
        <v>12912</v>
      </c>
      <c r="P29" s="223">
        <v>12544</v>
      </c>
      <c r="Q29" s="223">
        <v>12258</v>
      </c>
      <c r="R29" s="223">
        <v>12085</v>
      </c>
      <c r="S29" s="223">
        <v>12002</v>
      </c>
      <c r="T29" s="223">
        <v>11970</v>
      </c>
      <c r="U29" s="223">
        <v>11928</v>
      </c>
      <c r="V29" s="224">
        <v>11836</v>
      </c>
    </row>
    <row r="30" spans="1:22" ht="15">
      <c r="A30" s="218" t="s">
        <v>100</v>
      </c>
      <c r="B30" s="225">
        <v>10325</v>
      </c>
      <c r="C30" s="225">
        <v>10132</v>
      </c>
      <c r="D30" s="225">
        <v>9939</v>
      </c>
      <c r="E30" s="225">
        <v>9782</v>
      </c>
      <c r="F30" s="225">
        <v>9707</v>
      </c>
      <c r="G30" s="225">
        <v>9743</v>
      </c>
      <c r="H30" s="225">
        <v>9897</v>
      </c>
      <c r="I30" s="225">
        <v>10155</v>
      </c>
      <c r="J30" s="225">
        <v>10503</v>
      </c>
      <c r="K30" s="225">
        <v>10919</v>
      </c>
      <c r="L30" s="225">
        <v>11379</v>
      </c>
      <c r="M30" s="225">
        <v>11891</v>
      </c>
      <c r="N30" s="225">
        <v>12442</v>
      </c>
      <c r="O30" s="225">
        <v>12957</v>
      </c>
      <c r="P30" s="225">
        <v>13342</v>
      </c>
      <c r="Q30" s="225">
        <v>13533</v>
      </c>
      <c r="R30" s="225">
        <v>13493</v>
      </c>
      <c r="S30" s="225">
        <v>13252</v>
      </c>
      <c r="T30" s="225">
        <v>12891</v>
      </c>
      <c r="U30" s="225">
        <v>12525</v>
      </c>
      <c r="V30" s="226">
        <v>12241</v>
      </c>
    </row>
    <row r="31" spans="1:22" ht="15">
      <c r="A31" s="136" t="s">
        <v>101</v>
      </c>
      <c r="B31" s="223">
        <v>10946</v>
      </c>
      <c r="C31" s="223">
        <v>10880</v>
      </c>
      <c r="D31" s="223">
        <v>10768</v>
      </c>
      <c r="E31" s="223">
        <v>10622</v>
      </c>
      <c r="F31" s="223">
        <v>10452</v>
      </c>
      <c r="G31" s="223">
        <v>10273</v>
      </c>
      <c r="H31" s="223">
        <v>10083</v>
      </c>
      <c r="I31" s="223">
        <v>9894</v>
      </c>
      <c r="J31" s="223">
        <v>9741</v>
      </c>
      <c r="K31" s="223">
        <v>9669</v>
      </c>
      <c r="L31" s="223">
        <v>9707</v>
      </c>
      <c r="M31" s="223">
        <v>9863</v>
      </c>
      <c r="N31" s="223">
        <v>10123</v>
      </c>
      <c r="O31" s="223">
        <v>10472</v>
      </c>
      <c r="P31" s="223">
        <v>10889</v>
      </c>
      <c r="Q31" s="223">
        <v>11349</v>
      </c>
      <c r="R31" s="223">
        <v>11862</v>
      </c>
      <c r="S31" s="223">
        <v>12413</v>
      </c>
      <c r="T31" s="223">
        <v>12929</v>
      </c>
      <c r="U31" s="223">
        <v>13315</v>
      </c>
      <c r="V31" s="224">
        <v>13507</v>
      </c>
    </row>
    <row r="32" spans="1:22" ht="15">
      <c r="A32" s="218" t="s">
        <v>102</v>
      </c>
      <c r="B32" s="225">
        <v>10338</v>
      </c>
      <c r="C32" s="225">
        <v>10573</v>
      </c>
      <c r="D32" s="225">
        <v>10738</v>
      </c>
      <c r="E32" s="225">
        <v>10834</v>
      </c>
      <c r="F32" s="225">
        <v>10871</v>
      </c>
      <c r="G32" s="225">
        <v>10856</v>
      </c>
      <c r="H32" s="225">
        <v>10795</v>
      </c>
      <c r="I32" s="225">
        <v>10689</v>
      </c>
      <c r="J32" s="225">
        <v>10548</v>
      </c>
      <c r="K32" s="225">
        <v>10384</v>
      </c>
      <c r="L32" s="225">
        <v>10209</v>
      </c>
      <c r="M32" s="225">
        <v>10024</v>
      </c>
      <c r="N32" s="225">
        <v>9839</v>
      </c>
      <c r="O32" s="225">
        <v>9690</v>
      </c>
      <c r="P32" s="225">
        <v>9621</v>
      </c>
      <c r="Q32" s="225">
        <v>9663</v>
      </c>
      <c r="R32" s="225">
        <v>9820</v>
      </c>
      <c r="S32" s="225">
        <v>10082</v>
      </c>
      <c r="T32" s="225">
        <v>10433</v>
      </c>
      <c r="U32" s="225">
        <v>10851</v>
      </c>
      <c r="V32" s="226">
        <v>11312</v>
      </c>
    </row>
    <row r="33" spans="1:22" ht="15">
      <c r="A33" s="136" t="s">
        <v>103</v>
      </c>
      <c r="B33" s="223">
        <v>8341</v>
      </c>
      <c r="C33" s="223">
        <v>8672</v>
      </c>
      <c r="D33" s="223">
        <v>9068</v>
      </c>
      <c r="E33" s="223">
        <v>9489</v>
      </c>
      <c r="F33" s="223">
        <v>9879</v>
      </c>
      <c r="G33" s="223">
        <v>10197</v>
      </c>
      <c r="H33" s="223">
        <v>10435</v>
      </c>
      <c r="I33" s="223">
        <v>10603</v>
      </c>
      <c r="J33" s="223">
        <v>10705</v>
      </c>
      <c r="K33" s="223">
        <v>10747</v>
      </c>
      <c r="L33" s="223">
        <v>10739</v>
      </c>
      <c r="M33" s="223">
        <v>10684</v>
      </c>
      <c r="N33" s="223">
        <v>10584</v>
      </c>
      <c r="O33" s="223">
        <v>10449</v>
      </c>
      <c r="P33" s="223">
        <v>10291</v>
      </c>
      <c r="Q33" s="223">
        <v>10122</v>
      </c>
      <c r="R33" s="223">
        <v>9943</v>
      </c>
      <c r="S33" s="223">
        <v>9764</v>
      </c>
      <c r="T33" s="223">
        <v>9620</v>
      </c>
      <c r="U33" s="223">
        <v>9556</v>
      </c>
      <c r="V33" s="224">
        <v>9601</v>
      </c>
    </row>
    <row r="34" spans="1:22" ht="15">
      <c r="A34" s="218" t="s">
        <v>104</v>
      </c>
      <c r="B34" s="225">
        <v>7173</v>
      </c>
      <c r="C34" s="225">
        <v>7404</v>
      </c>
      <c r="D34" s="225">
        <v>7570</v>
      </c>
      <c r="E34" s="225">
        <v>7712</v>
      </c>
      <c r="F34" s="225">
        <v>7887</v>
      </c>
      <c r="G34" s="225">
        <v>8135</v>
      </c>
      <c r="H34" s="225">
        <v>8469</v>
      </c>
      <c r="I34" s="225">
        <v>8865</v>
      </c>
      <c r="J34" s="225">
        <v>9285</v>
      </c>
      <c r="K34" s="225">
        <v>9675</v>
      </c>
      <c r="L34" s="225">
        <v>9995</v>
      </c>
      <c r="M34" s="225">
        <v>10237</v>
      </c>
      <c r="N34" s="225">
        <v>10409</v>
      </c>
      <c r="O34" s="225">
        <v>10516</v>
      </c>
      <c r="P34" s="225">
        <v>10565</v>
      </c>
      <c r="Q34" s="225">
        <v>10564</v>
      </c>
      <c r="R34" s="225">
        <v>10517</v>
      </c>
      <c r="S34" s="225">
        <v>10425</v>
      </c>
      <c r="T34" s="225">
        <v>10299</v>
      </c>
      <c r="U34" s="225">
        <v>10150</v>
      </c>
      <c r="V34" s="226">
        <v>9991</v>
      </c>
    </row>
    <row r="35" spans="1:22" ht="15">
      <c r="A35" s="136" t="s">
        <v>105</v>
      </c>
      <c r="B35" s="223">
        <v>5109</v>
      </c>
      <c r="C35" s="223">
        <v>5416</v>
      </c>
      <c r="D35" s="223">
        <v>5789</v>
      </c>
      <c r="E35" s="223">
        <v>6187</v>
      </c>
      <c r="F35" s="223">
        <v>6558</v>
      </c>
      <c r="G35" s="223">
        <v>6867</v>
      </c>
      <c r="H35" s="223">
        <v>7097</v>
      </c>
      <c r="I35" s="223">
        <v>7265</v>
      </c>
      <c r="J35" s="223">
        <v>7410</v>
      </c>
      <c r="K35" s="223">
        <v>7591</v>
      </c>
      <c r="L35" s="223">
        <v>7843</v>
      </c>
      <c r="M35" s="223">
        <v>8178</v>
      </c>
      <c r="N35" s="223">
        <v>8573</v>
      </c>
      <c r="O35" s="223">
        <v>8991</v>
      </c>
      <c r="P35" s="223">
        <v>9378</v>
      </c>
      <c r="Q35" s="223">
        <v>9698</v>
      </c>
      <c r="R35" s="223">
        <v>9941</v>
      </c>
      <c r="S35" s="223">
        <v>10119</v>
      </c>
      <c r="T35" s="223">
        <v>10233</v>
      </c>
      <c r="U35" s="223">
        <v>10292</v>
      </c>
      <c r="V35" s="224">
        <v>10303</v>
      </c>
    </row>
    <row r="36" spans="1:22" ht="15">
      <c r="A36" s="218" t="s">
        <v>106</v>
      </c>
      <c r="B36" s="225">
        <v>4040</v>
      </c>
      <c r="C36" s="225">
        <v>4135</v>
      </c>
      <c r="D36" s="225">
        <v>4230</v>
      </c>
      <c r="E36" s="225">
        <v>4346</v>
      </c>
      <c r="F36" s="225">
        <v>4508</v>
      </c>
      <c r="G36" s="225">
        <v>4734</v>
      </c>
      <c r="H36" s="225">
        <v>5035</v>
      </c>
      <c r="I36" s="225">
        <v>5395</v>
      </c>
      <c r="J36" s="225">
        <v>5779</v>
      </c>
      <c r="K36" s="225">
        <v>6136</v>
      </c>
      <c r="L36" s="225">
        <v>6434</v>
      </c>
      <c r="M36" s="225">
        <v>6659</v>
      </c>
      <c r="N36" s="225">
        <v>6827</v>
      </c>
      <c r="O36" s="225">
        <v>6976</v>
      </c>
      <c r="P36" s="225">
        <v>7162</v>
      </c>
      <c r="Q36" s="225">
        <v>7416</v>
      </c>
      <c r="R36" s="225">
        <v>7750</v>
      </c>
      <c r="S36" s="225">
        <v>8142</v>
      </c>
      <c r="T36" s="225">
        <v>8554</v>
      </c>
      <c r="U36" s="225">
        <v>8938</v>
      </c>
      <c r="V36" s="226">
        <v>9256</v>
      </c>
    </row>
    <row r="37" spans="1:22" ht="15">
      <c r="A37" s="136" t="s">
        <v>107</v>
      </c>
      <c r="B37" s="223">
        <v>3055</v>
      </c>
      <c r="C37" s="223">
        <v>3149</v>
      </c>
      <c r="D37" s="223">
        <v>3248</v>
      </c>
      <c r="E37" s="223">
        <v>3348</v>
      </c>
      <c r="F37" s="223">
        <v>3448</v>
      </c>
      <c r="G37" s="223">
        <v>3548</v>
      </c>
      <c r="H37" s="223">
        <v>3644</v>
      </c>
      <c r="I37" s="223">
        <v>3740</v>
      </c>
      <c r="J37" s="223">
        <v>3855</v>
      </c>
      <c r="K37" s="223">
        <v>4016</v>
      </c>
      <c r="L37" s="223">
        <v>4235</v>
      </c>
      <c r="M37" s="223">
        <v>4521</v>
      </c>
      <c r="N37" s="223">
        <v>4863</v>
      </c>
      <c r="O37" s="223">
        <v>5223</v>
      </c>
      <c r="P37" s="223">
        <v>5559</v>
      </c>
      <c r="Q37" s="223">
        <v>5841</v>
      </c>
      <c r="R37" s="223">
        <v>6057</v>
      </c>
      <c r="S37" s="223">
        <v>6224</v>
      </c>
      <c r="T37" s="223">
        <v>6378</v>
      </c>
      <c r="U37" s="223">
        <v>6569</v>
      </c>
      <c r="V37" s="224">
        <v>6826</v>
      </c>
    </row>
    <row r="38" spans="1:22" ht="15">
      <c r="A38" s="218" t="s">
        <v>108</v>
      </c>
      <c r="B38" s="225">
        <v>2060</v>
      </c>
      <c r="C38" s="225">
        <v>2148</v>
      </c>
      <c r="D38" s="225">
        <v>2237</v>
      </c>
      <c r="E38" s="225">
        <v>2325</v>
      </c>
      <c r="F38" s="225">
        <v>2412</v>
      </c>
      <c r="G38" s="225">
        <v>2499</v>
      </c>
      <c r="H38" s="225">
        <v>2589</v>
      </c>
      <c r="I38" s="225">
        <v>2682</v>
      </c>
      <c r="J38" s="225">
        <v>2778</v>
      </c>
      <c r="K38" s="225">
        <v>2873</v>
      </c>
      <c r="L38" s="225">
        <v>2969</v>
      </c>
      <c r="M38" s="225">
        <v>3060</v>
      </c>
      <c r="N38" s="225">
        <v>3152</v>
      </c>
      <c r="O38" s="225">
        <v>3263</v>
      </c>
      <c r="P38" s="225">
        <v>3415</v>
      </c>
      <c r="Q38" s="225">
        <v>3618</v>
      </c>
      <c r="R38" s="225">
        <v>3880</v>
      </c>
      <c r="S38" s="225">
        <v>4190</v>
      </c>
      <c r="T38" s="225">
        <v>4515</v>
      </c>
      <c r="U38" s="225">
        <v>4816</v>
      </c>
      <c r="V38" s="226">
        <v>5071</v>
      </c>
    </row>
    <row r="39" spans="1:22" ht="15">
      <c r="A39" s="136" t="s">
        <v>109</v>
      </c>
      <c r="B39" s="223">
        <v>1179</v>
      </c>
      <c r="C39" s="223">
        <v>1247</v>
      </c>
      <c r="D39" s="223">
        <v>1316</v>
      </c>
      <c r="E39" s="223">
        <v>1385</v>
      </c>
      <c r="F39" s="223">
        <v>1455</v>
      </c>
      <c r="G39" s="223">
        <v>1525</v>
      </c>
      <c r="H39" s="223">
        <v>1602</v>
      </c>
      <c r="I39" s="223">
        <v>1677</v>
      </c>
      <c r="J39" s="223">
        <v>1753</v>
      </c>
      <c r="K39" s="223">
        <v>1829</v>
      </c>
      <c r="L39" s="223">
        <v>1906</v>
      </c>
      <c r="M39" s="223">
        <v>1986</v>
      </c>
      <c r="N39" s="223">
        <v>2070</v>
      </c>
      <c r="O39" s="223">
        <v>2156</v>
      </c>
      <c r="P39" s="223">
        <v>2244</v>
      </c>
      <c r="Q39" s="223">
        <v>2332</v>
      </c>
      <c r="R39" s="223">
        <v>2417</v>
      </c>
      <c r="S39" s="223">
        <v>2505</v>
      </c>
      <c r="T39" s="223">
        <v>2610</v>
      </c>
      <c r="U39" s="223">
        <v>2752</v>
      </c>
      <c r="V39" s="224">
        <v>2938</v>
      </c>
    </row>
    <row r="40" spans="1:22" ht="15">
      <c r="A40" s="218" t="s">
        <v>110</v>
      </c>
      <c r="B40" s="225">
        <v>816</v>
      </c>
      <c r="C40" s="225">
        <v>851</v>
      </c>
      <c r="D40" s="225">
        <v>901</v>
      </c>
      <c r="E40" s="225">
        <v>959</v>
      </c>
      <c r="F40" s="225">
        <v>1022</v>
      </c>
      <c r="G40" s="225">
        <v>1088</v>
      </c>
      <c r="H40" s="225">
        <v>1154</v>
      </c>
      <c r="I40" s="225">
        <v>1227</v>
      </c>
      <c r="J40" s="225">
        <v>1305</v>
      </c>
      <c r="K40" s="225">
        <v>1387</v>
      </c>
      <c r="L40" s="225">
        <v>1471</v>
      </c>
      <c r="M40" s="225">
        <v>1560</v>
      </c>
      <c r="N40" s="225">
        <v>1654</v>
      </c>
      <c r="O40" s="225">
        <v>1751</v>
      </c>
      <c r="P40" s="225">
        <v>1852</v>
      </c>
      <c r="Q40" s="225">
        <v>1957</v>
      </c>
      <c r="R40" s="225">
        <v>2067</v>
      </c>
      <c r="S40" s="225">
        <v>2184</v>
      </c>
      <c r="T40" s="225">
        <v>2305</v>
      </c>
      <c r="U40" s="225">
        <v>2430</v>
      </c>
      <c r="V40" s="226">
        <v>2559</v>
      </c>
    </row>
    <row r="41" spans="1:22" ht="15">
      <c r="A41" s="136" t="s">
        <v>40</v>
      </c>
      <c r="B41" s="223">
        <v>133626</v>
      </c>
      <c r="C41" s="223">
        <v>135145</v>
      </c>
      <c r="D41" s="223">
        <v>136685</v>
      </c>
      <c r="E41" s="223">
        <v>138229</v>
      </c>
      <c r="F41" s="223">
        <v>139777</v>
      </c>
      <c r="G41" s="223">
        <v>141324</v>
      </c>
      <c r="H41" s="223">
        <v>142868</v>
      </c>
      <c r="I41" s="223">
        <v>144409</v>
      </c>
      <c r="J41" s="223">
        <v>145942</v>
      </c>
      <c r="K41" s="223">
        <v>147466</v>
      </c>
      <c r="L41" s="223">
        <v>148963</v>
      </c>
      <c r="M41" s="223">
        <v>150440</v>
      </c>
      <c r="N41" s="223">
        <v>151896</v>
      </c>
      <c r="O41" s="223">
        <v>153328</v>
      </c>
      <c r="P41" s="223">
        <v>154735</v>
      </c>
      <c r="Q41" s="223">
        <v>156112</v>
      </c>
      <c r="R41" s="223">
        <v>157456</v>
      </c>
      <c r="S41" s="223">
        <v>158766</v>
      </c>
      <c r="T41" s="223">
        <v>160040</v>
      </c>
      <c r="U41" s="223">
        <v>161277</v>
      </c>
      <c r="V41" s="224">
        <v>162479</v>
      </c>
    </row>
    <row r="42" spans="1:22" ht="18.75">
      <c r="A42" s="217" t="s">
        <v>64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6"/>
    </row>
    <row r="43" spans="1:22" ht="15">
      <c r="A43" s="136" t="s">
        <v>95</v>
      </c>
      <c r="B43" s="223">
        <v>10557</v>
      </c>
      <c r="C43" s="223">
        <v>10588</v>
      </c>
      <c r="D43" s="223">
        <v>10636</v>
      </c>
      <c r="E43" s="223">
        <v>10698</v>
      </c>
      <c r="F43" s="223">
        <v>10774</v>
      </c>
      <c r="G43" s="223">
        <v>10861</v>
      </c>
      <c r="H43" s="223">
        <v>10926</v>
      </c>
      <c r="I43" s="223">
        <v>10981</v>
      </c>
      <c r="J43" s="223">
        <v>11025</v>
      </c>
      <c r="K43" s="223">
        <v>11058</v>
      </c>
      <c r="L43" s="223">
        <v>11069</v>
      </c>
      <c r="M43" s="223">
        <v>11068</v>
      </c>
      <c r="N43" s="223">
        <v>11055</v>
      </c>
      <c r="O43" s="223">
        <v>11031</v>
      </c>
      <c r="P43" s="223">
        <v>10996</v>
      </c>
      <c r="Q43" s="223">
        <v>10961</v>
      </c>
      <c r="R43" s="223">
        <v>10912</v>
      </c>
      <c r="S43" s="223">
        <v>10850</v>
      </c>
      <c r="T43" s="223">
        <v>10777</v>
      </c>
      <c r="U43" s="223">
        <v>10693</v>
      </c>
      <c r="V43" s="224">
        <v>10602</v>
      </c>
    </row>
    <row r="44" spans="1:22" ht="15">
      <c r="A44" s="218" t="s">
        <v>96</v>
      </c>
      <c r="B44" s="225">
        <v>11433</v>
      </c>
      <c r="C44" s="225">
        <v>11235</v>
      </c>
      <c r="D44" s="225">
        <v>11027</v>
      </c>
      <c r="E44" s="225">
        <v>10828</v>
      </c>
      <c r="F44" s="225">
        <v>10658</v>
      </c>
      <c r="G44" s="225">
        <v>10536</v>
      </c>
      <c r="H44" s="225">
        <v>10568</v>
      </c>
      <c r="I44" s="225">
        <v>10616</v>
      </c>
      <c r="J44" s="225">
        <v>10680</v>
      </c>
      <c r="K44" s="225">
        <v>10757</v>
      </c>
      <c r="L44" s="225">
        <v>10845</v>
      </c>
      <c r="M44" s="225">
        <v>10910</v>
      </c>
      <c r="N44" s="225">
        <v>10966</v>
      </c>
      <c r="O44" s="225">
        <v>11012</v>
      </c>
      <c r="P44" s="225">
        <v>11046</v>
      </c>
      <c r="Q44" s="225">
        <v>11058</v>
      </c>
      <c r="R44" s="225">
        <v>11057</v>
      </c>
      <c r="S44" s="225">
        <v>11045</v>
      </c>
      <c r="T44" s="225">
        <v>11023</v>
      </c>
      <c r="U44" s="225">
        <v>10989</v>
      </c>
      <c r="V44" s="226">
        <v>10954</v>
      </c>
    </row>
    <row r="45" spans="1:22" ht="15">
      <c r="A45" s="219" t="s">
        <v>111</v>
      </c>
      <c r="B45" s="223">
        <v>11572</v>
      </c>
      <c r="C45" s="223">
        <v>11467</v>
      </c>
      <c r="D45" s="223">
        <v>11448</v>
      </c>
      <c r="E45" s="223">
        <v>11471</v>
      </c>
      <c r="F45" s="223">
        <v>11478</v>
      </c>
      <c r="G45" s="223">
        <v>11424</v>
      </c>
      <c r="H45" s="223">
        <v>11227</v>
      </c>
      <c r="I45" s="223">
        <v>11019</v>
      </c>
      <c r="J45" s="223">
        <v>10820</v>
      </c>
      <c r="K45" s="223">
        <v>10651</v>
      </c>
      <c r="L45" s="223">
        <v>10529</v>
      </c>
      <c r="M45" s="223">
        <v>10561</v>
      </c>
      <c r="N45" s="223">
        <v>10610</v>
      </c>
      <c r="O45" s="223">
        <v>10674</v>
      </c>
      <c r="P45" s="223">
        <v>10751</v>
      </c>
      <c r="Q45" s="223">
        <v>10839</v>
      </c>
      <c r="R45" s="223">
        <v>10905</v>
      </c>
      <c r="S45" s="223">
        <v>10962</v>
      </c>
      <c r="T45" s="223">
        <v>11007</v>
      </c>
      <c r="U45" s="223">
        <v>11042</v>
      </c>
      <c r="V45" s="224">
        <v>11054</v>
      </c>
    </row>
    <row r="46" spans="1:22" ht="15">
      <c r="A46" s="218" t="s">
        <v>97</v>
      </c>
      <c r="B46" s="225">
        <v>12708</v>
      </c>
      <c r="C46" s="225">
        <v>12593</v>
      </c>
      <c r="D46" s="225">
        <v>12355</v>
      </c>
      <c r="E46" s="225">
        <v>12053</v>
      </c>
      <c r="F46" s="225">
        <v>11770</v>
      </c>
      <c r="G46" s="225">
        <v>11563</v>
      </c>
      <c r="H46" s="225">
        <v>11459</v>
      </c>
      <c r="I46" s="225">
        <v>11440</v>
      </c>
      <c r="J46" s="225">
        <v>11464</v>
      </c>
      <c r="K46" s="225">
        <v>11471</v>
      </c>
      <c r="L46" s="225">
        <v>11418</v>
      </c>
      <c r="M46" s="225">
        <v>11221</v>
      </c>
      <c r="N46" s="225">
        <v>11014</v>
      </c>
      <c r="O46" s="225">
        <v>10816</v>
      </c>
      <c r="P46" s="225">
        <v>10648</v>
      </c>
      <c r="Q46" s="225">
        <v>10526</v>
      </c>
      <c r="R46" s="225">
        <v>10559</v>
      </c>
      <c r="S46" s="225">
        <v>10608</v>
      </c>
      <c r="T46" s="225">
        <v>10672</v>
      </c>
      <c r="U46" s="225">
        <v>10750</v>
      </c>
      <c r="V46" s="226">
        <v>10839</v>
      </c>
    </row>
    <row r="47" spans="1:22" ht="15">
      <c r="A47" s="136" t="s">
        <v>98</v>
      </c>
      <c r="B47" s="223">
        <v>11580</v>
      </c>
      <c r="C47" s="223">
        <v>11970</v>
      </c>
      <c r="D47" s="223">
        <v>12296</v>
      </c>
      <c r="E47" s="223">
        <v>12536</v>
      </c>
      <c r="F47" s="223">
        <v>12672</v>
      </c>
      <c r="G47" s="223">
        <v>12692</v>
      </c>
      <c r="H47" s="223">
        <v>12579</v>
      </c>
      <c r="I47" s="223">
        <v>12342</v>
      </c>
      <c r="J47" s="223">
        <v>12041</v>
      </c>
      <c r="K47" s="223">
        <v>11759</v>
      </c>
      <c r="L47" s="223">
        <v>11553</v>
      </c>
      <c r="M47" s="223">
        <v>11450</v>
      </c>
      <c r="N47" s="223">
        <v>11432</v>
      </c>
      <c r="O47" s="223">
        <v>11457</v>
      </c>
      <c r="P47" s="223">
        <v>11465</v>
      </c>
      <c r="Q47" s="223">
        <v>11413</v>
      </c>
      <c r="R47" s="223">
        <v>11217</v>
      </c>
      <c r="S47" s="223">
        <v>11011</v>
      </c>
      <c r="T47" s="223">
        <v>10813</v>
      </c>
      <c r="U47" s="223">
        <v>10646</v>
      </c>
      <c r="V47" s="224">
        <v>10525</v>
      </c>
    </row>
    <row r="48" spans="1:22" ht="15">
      <c r="A48" s="218" t="s">
        <v>99</v>
      </c>
      <c r="B48" s="225">
        <v>9369</v>
      </c>
      <c r="C48" s="225">
        <v>9629</v>
      </c>
      <c r="D48" s="225">
        <v>10050</v>
      </c>
      <c r="E48" s="225">
        <v>10569</v>
      </c>
      <c r="F48" s="225">
        <v>11096</v>
      </c>
      <c r="G48" s="225">
        <v>11560</v>
      </c>
      <c r="H48" s="225">
        <v>11951</v>
      </c>
      <c r="I48" s="225">
        <v>12277</v>
      </c>
      <c r="J48" s="225">
        <v>12519</v>
      </c>
      <c r="K48" s="225">
        <v>12655</v>
      </c>
      <c r="L48" s="225">
        <v>12677</v>
      </c>
      <c r="M48" s="225">
        <v>12565</v>
      </c>
      <c r="N48" s="225">
        <v>12329</v>
      </c>
      <c r="O48" s="225">
        <v>12030</v>
      </c>
      <c r="P48" s="225">
        <v>11749</v>
      </c>
      <c r="Q48" s="225">
        <v>11545</v>
      </c>
      <c r="R48" s="225">
        <v>11443</v>
      </c>
      <c r="S48" s="225">
        <v>11427</v>
      </c>
      <c r="T48" s="225">
        <v>11453</v>
      </c>
      <c r="U48" s="225">
        <v>11462</v>
      </c>
      <c r="V48" s="226">
        <v>11411</v>
      </c>
    </row>
    <row r="49" spans="1:22" ht="15">
      <c r="A49" s="136" t="s">
        <v>100</v>
      </c>
      <c r="B49" s="223">
        <v>9984</v>
      </c>
      <c r="C49" s="223">
        <v>9802</v>
      </c>
      <c r="D49" s="223">
        <v>9576</v>
      </c>
      <c r="E49" s="223">
        <v>9372</v>
      </c>
      <c r="F49" s="223">
        <v>9276</v>
      </c>
      <c r="G49" s="223">
        <v>9347</v>
      </c>
      <c r="H49" s="223">
        <v>9608</v>
      </c>
      <c r="I49" s="223">
        <v>10030</v>
      </c>
      <c r="J49" s="223">
        <v>10549</v>
      </c>
      <c r="K49" s="223">
        <v>11076</v>
      </c>
      <c r="L49" s="223">
        <v>11541</v>
      </c>
      <c r="M49" s="223">
        <v>11933</v>
      </c>
      <c r="N49" s="223">
        <v>12260</v>
      </c>
      <c r="O49" s="223">
        <v>12503</v>
      </c>
      <c r="P49" s="223">
        <v>12640</v>
      </c>
      <c r="Q49" s="223">
        <v>12664</v>
      </c>
      <c r="R49" s="223">
        <v>12553</v>
      </c>
      <c r="S49" s="223">
        <v>12320</v>
      </c>
      <c r="T49" s="223">
        <v>12022</v>
      </c>
      <c r="U49" s="223">
        <v>11743</v>
      </c>
      <c r="V49" s="224">
        <v>11541</v>
      </c>
    </row>
    <row r="50" spans="1:22" ht="15">
      <c r="A50" s="218" t="s">
        <v>101</v>
      </c>
      <c r="B50" s="225">
        <v>10158</v>
      </c>
      <c r="C50" s="225">
        <v>10162</v>
      </c>
      <c r="D50" s="225">
        <v>10158</v>
      </c>
      <c r="E50" s="225">
        <v>10132</v>
      </c>
      <c r="F50" s="225">
        <v>10066</v>
      </c>
      <c r="G50" s="225">
        <v>9949</v>
      </c>
      <c r="H50" s="225">
        <v>9769</v>
      </c>
      <c r="I50" s="225">
        <v>9546</v>
      </c>
      <c r="J50" s="225">
        <v>9344</v>
      </c>
      <c r="K50" s="225">
        <v>9250</v>
      </c>
      <c r="L50" s="225">
        <v>9323</v>
      </c>
      <c r="M50" s="225">
        <v>9586</v>
      </c>
      <c r="N50" s="225">
        <v>10008</v>
      </c>
      <c r="O50" s="225">
        <v>10529</v>
      </c>
      <c r="P50" s="225">
        <v>11056</v>
      </c>
      <c r="Q50" s="225">
        <v>11523</v>
      </c>
      <c r="R50" s="225">
        <v>11915</v>
      </c>
      <c r="S50" s="225">
        <v>12245</v>
      </c>
      <c r="T50" s="225">
        <v>12489</v>
      </c>
      <c r="U50" s="225">
        <v>12629</v>
      </c>
      <c r="V50" s="226">
        <v>12655</v>
      </c>
    </row>
    <row r="51" spans="1:22" ht="15">
      <c r="A51" s="136" t="s">
        <v>102</v>
      </c>
      <c r="B51" s="223">
        <v>9648</v>
      </c>
      <c r="C51" s="223">
        <v>9867</v>
      </c>
      <c r="D51" s="223">
        <v>9999</v>
      </c>
      <c r="E51" s="223">
        <v>10064</v>
      </c>
      <c r="F51" s="223">
        <v>10091</v>
      </c>
      <c r="G51" s="223">
        <v>10101</v>
      </c>
      <c r="H51" s="223">
        <v>10108</v>
      </c>
      <c r="I51" s="223">
        <v>10106</v>
      </c>
      <c r="J51" s="223">
        <v>10083</v>
      </c>
      <c r="K51" s="223">
        <v>10019</v>
      </c>
      <c r="L51" s="223">
        <v>9906</v>
      </c>
      <c r="M51" s="223">
        <v>9729</v>
      </c>
      <c r="N51" s="223">
        <v>9509</v>
      </c>
      <c r="O51" s="223">
        <v>9310</v>
      </c>
      <c r="P51" s="223">
        <v>9219</v>
      </c>
      <c r="Q51" s="223">
        <v>9295</v>
      </c>
      <c r="R51" s="223">
        <v>9560</v>
      </c>
      <c r="S51" s="223">
        <v>9984</v>
      </c>
      <c r="T51" s="223">
        <v>10506</v>
      </c>
      <c r="U51" s="223">
        <v>11035</v>
      </c>
      <c r="V51" s="224">
        <v>11503</v>
      </c>
    </row>
    <row r="52" spans="1:22" ht="15">
      <c r="A52" s="218" t="s">
        <v>103</v>
      </c>
      <c r="B52" s="225">
        <v>7612</v>
      </c>
      <c r="C52" s="225">
        <v>7971</v>
      </c>
      <c r="D52" s="225">
        <v>8394</v>
      </c>
      <c r="E52" s="225">
        <v>8837</v>
      </c>
      <c r="F52" s="225">
        <v>9240</v>
      </c>
      <c r="G52" s="225">
        <v>9558</v>
      </c>
      <c r="H52" s="225">
        <v>9778</v>
      </c>
      <c r="I52" s="225">
        <v>9913</v>
      </c>
      <c r="J52" s="225">
        <v>9980</v>
      </c>
      <c r="K52" s="225">
        <v>10010</v>
      </c>
      <c r="L52" s="225">
        <v>10024</v>
      </c>
      <c r="M52" s="225">
        <v>10034</v>
      </c>
      <c r="N52" s="225">
        <v>10036</v>
      </c>
      <c r="O52" s="225">
        <v>10017</v>
      </c>
      <c r="P52" s="225">
        <v>9958</v>
      </c>
      <c r="Q52" s="225">
        <v>9848</v>
      </c>
      <c r="R52" s="225">
        <v>9676</v>
      </c>
      <c r="S52" s="225">
        <v>9460</v>
      </c>
      <c r="T52" s="225">
        <v>9266</v>
      </c>
      <c r="U52" s="225">
        <v>9180</v>
      </c>
      <c r="V52" s="226">
        <v>9259</v>
      </c>
    </row>
    <row r="53" spans="1:22" ht="15">
      <c r="A53" s="136" t="s">
        <v>104</v>
      </c>
      <c r="B53" s="223">
        <v>6454</v>
      </c>
      <c r="C53" s="223">
        <v>6672</v>
      </c>
      <c r="D53" s="223">
        <v>6847</v>
      </c>
      <c r="E53" s="223">
        <v>7014</v>
      </c>
      <c r="F53" s="223">
        <v>7219</v>
      </c>
      <c r="G53" s="223">
        <v>7494</v>
      </c>
      <c r="H53" s="223">
        <v>7852</v>
      </c>
      <c r="I53" s="223">
        <v>8274</v>
      </c>
      <c r="J53" s="223">
        <v>8716</v>
      </c>
      <c r="K53" s="223">
        <v>9117</v>
      </c>
      <c r="L53" s="223">
        <v>9436</v>
      </c>
      <c r="M53" s="223">
        <v>9657</v>
      </c>
      <c r="N53" s="223">
        <v>9795</v>
      </c>
      <c r="O53" s="223">
        <v>9866</v>
      </c>
      <c r="P53" s="223">
        <v>9901</v>
      </c>
      <c r="Q53" s="223">
        <v>9920</v>
      </c>
      <c r="R53" s="223">
        <v>9936</v>
      </c>
      <c r="S53" s="223">
        <v>9943</v>
      </c>
      <c r="T53" s="223">
        <v>9930</v>
      </c>
      <c r="U53" s="223">
        <v>9876</v>
      </c>
      <c r="V53" s="224">
        <v>9773</v>
      </c>
    </row>
    <row r="54" spans="1:22" ht="15">
      <c r="A54" s="218" t="s">
        <v>105</v>
      </c>
      <c r="B54" s="225">
        <v>4799</v>
      </c>
      <c r="C54" s="225">
        <v>5076</v>
      </c>
      <c r="D54" s="225">
        <v>5389</v>
      </c>
      <c r="E54" s="225">
        <v>5715</v>
      </c>
      <c r="F54" s="225">
        <v>6022</v>
      </c>
      <c r="G54" s="225">
        <v>6291</v>
      </c>
      <c r="H54" s="225">
        <v>6508</v>
      </c>
      <c r="I54" s="225">
        <v>6684</v>
      </c>
      <c r="J54" s="225">
        <v>6851</v>
      </c>
      <c r="K54" s="225">
        <v>7058</v>
      </c>
      <c r="L54" s="225">
        <v>7334</v>
      </c>
      <c r="M54" s="225">
        <v>7692</v>
      </c>
      <c r="N54" s="225">
        <v>8112</v>
      </c>
      <c r="O54" s="225">
        <v>8552</v>
      </c>
      <c r="P54" s="225">
        <v>8953</v>
      </c>
      <c r="Q54" s="225">
        <v>9271</v>
      </c>
      <c r="R54" s="225">
        <v>9495</v>
      </c>
      <c r="S54" s="225">
        <v>9637</v>
      </c>
      <c r="T54" s="225">
        <v>9715</v>
      </c>
      <c r="U54" s="225">
        <v>9756</v>
      </c>
      <c r="V54" s="226">
        <v>9783</v>
      </c>
    </row>
    <row r="55" spans="1:22" ht="15">
      <c r="A55" s="136" t="s">
        <v>106</v>
      </c>
      <c r="B55" s="223">
        <v>3700</v>
      </c>
      <c r="C55" s="223">
        <v>3844</v>
      </c>
      <c r="D55" s="223">
        <v>3999</v>
      </c>
      <c r="E55" s="223">
        <v>4171</v>
      </c>
      <c r="F55" s="223">
        <v>4371</v>
      </c>
      <c r="G55" s="223">
        <v>4604</v>
      </c>
      <c r="H55" s="223">
        <v>4877</v>
      </c>
      <c r="I55" s="223">
        <v>5185</v>
      </c>
      <c r="J55" s="223">
        <v>5504</v>
      </c>
      <c r="K55" s="223">
        <v>5806</v>
      </c>
      <c r="L55" s="223">
        <v>6071</v>
      </c>
      <c r="M55" s="223">
        <v>6286</v>
      </c>
      <c r="N55" s="223">
        <v>6462</v>
      </c>
      <c r="O55" s="223">
        <v>6632</v>
      </c>
      <c r="P55" s="223">
        <v>6841</v>
      </c>
      <c r="Q55" s="223">
        <v>7118</v>
      </c>
      <c r="R55" s="223">
        <v>7476</v>
      </c>
      <c r="S55" s="223">
        <v>7895</v>
      </c>
      <c r="T55" s="223">
        <v>8333</v>
      </c>
      <c r="U55" s="223">
        <v>8732</v>
      </c>
      <c r="V55" s="224">
        <v>9052</v>
      </c>
    </row>
    <row r="56" spans="1:22" ht="15">
      <c r="A56" s="218" t="s">
        <v>107</v>
      </c>
      <c r="B56" s="225">
        <v>2868</v>
      </c>
      <c r="C56" s="225">
        <v>2973</v>
      </c>
      <c r="D56" s="225">
        <v>3083</v>
      </c>
      <c r="E56" s="225">
        <v>3197</v>
      </c>
      <c r="F56" s="225">
        <v>3320</v>
      </c>
      <c r="G56" s="225">
        <v>3453</v>
      </c>
      <c r="H56" s="225">
        <v>3595</v>
      </c>
      <c r="I56" s="225">
        <v>3746</v>
      </c>
      <c r="J56" s="225">
        <v>3914</v>
      </c>
      <c r="K56" s="225">
        <v>4110</v>
      </c>
      <c r="L56" s="225">
        <v>4338</v>
      </c>
      <c r="M56" s="225">
        <v>4604</v>
      </c>
      <c r="N56" s="225">
        <v>4903</v>
      </c>
      <c r="O56" s="225">
        <v>5214</v>
      </c>
      <c r="P56" s="225">
        <v>5508</v>
      </c>
      <c r="Q56" s="225">
        <v>5767</v>
      </c>
      <c r="R56" s="225">
        <v>5980</v>
      </c>
      <c r="S56" s="225">
        <v>6156</v>
      </c>
      <c r="T56" s="225">
        <v>6328</v>
      </c>
      <c r="U56" s="225">
        <v>6540</v>
      </c>
      <c r="V56" s="226">
        <v>6819</v>
      </c>
    </row>
    <row r="57" spans="1:22" ht="15">
      <c r="A57" s="136" t="s">
        <v>108</v>
      </c>
      <c r="B57" s="223">
        <v>2076</v>
      </c>
      <c r="C57" s="223">
        <v>2173</v>
      </c>
      <c r="D57" s="223">
        <v>2268</v>
      </c>
      <c r="E57" s="223">
        <v>2360</v>
      </c>
      <c r="F57" s="223">
        <v>2453</v>
      </c>
      <c r="G57" s="223">
        <v>2548</v>
      </c>
      <c r="H57" s="223">
        <v>2647</v>
      </c>
      <c r="I57" s="223">
        <v>2750</v>
      </c>
      <c r="J57" s="223">
        <v>2858</v>
      </c>
      <c r="K57" s="223">
        <v>2973</v>
      </c>
      <c r="L57" s="223">
        <v>3099</v>
      </c>
      <c r="M57" s="223">
        <v>3233</v>
      </c>
      <c r="N57" s="223">
        <v>3375</v>
      </c>
      <c r="O57" s="223">
        <v>3534</v>
      </c>
      <c r="P57" s="223">
        <v>3719</v>
      </c>
      <c r="Q57" s="223">
        <v>3934</v>
      </c>
      <c r="R57" s="223">
        <v>4185</v>
      </c>
      <c r="S57" s="223">
        <v>4466</v>
      </c>
      <c r="T57" s="223">
        <v>4758</v>
      </c>
      <c r="U57" s="223">
        <v>5033</v>
      </c>
      <c r="V57" s="224">
        <v>5278</v>
      </c>
    </row>
    <row r="58" spans="1:22" ht="15">
      <c r="A58" s="218" t="s">
        <v>109</v>
      </c>
      <c r="B58" s="225">
        <v>1343</v>
      </c>
      <c r="C58" s="225">
        <v>1421</v>
      </c>
      <c r="D58" s="225">
        <v>1500</v>
      </c>
      <c r="E58" s="225">
        <v>1582</v>
      </c>
      <c r="F58" s="225">
        <v>1664</v>
      </c>
      <c r="G58" s="225">
        <v>1746</v>
      </c>
      <c r="H58" s="225">
        <v>1835</v>
      </c>
      <c r="I58" s="225">
        <v>1921</v>
      </c>
      <c r="J58" s="225">
        <v>2006</v>
      </c>
      <c r="K58" s="225">
        <v>2092</v>
      </c>
      <c r="L58" s="225">
        <v>2181</v>
      </c>
      <c r="M58" s="225">
        <v>2274</v>
      </c>
      <c r="N58" s="225">
        <v>2371</v>
      </c>
      <c r="O58" s="225">
        <v>2473</v>
      </c>
      <c r="P58" s="225">
        <v>2583</v>
      </c>
      <c r="Q58" s="225">
        <v>2702</v>
      </c>
      <c r="R58" s="225">
        <v>2829</v>
      </c>
      <c r="S58" s="225">
        <v>2964</v>
      </c>
      <c r="T58" s="225">
        <v>3116</v>
      </c>
      <c r="U58" s="225">
        <v>3291</v>
      </c>
      <c r="V58" s="226">
        <v>3496</v>
      </c>
    </row>
    <row r="59" spans="1:22" ht="15">
      <c r="A59" s="136" t="s">
        <v>110</v>
      </c>
      <c r="B59" s="223">
        <v>1253</v>
      </c>
      <c r="C59" s="223">
        <v>1297</v>
      </c>
      <c r="D59" s="223">
        <v>1359</v>
      </c>
      <c r="E59" s="223">
        <v>1431</v>
      </c>
      <c r="F59" s="223">
        <v>1512</v>
      </c>
      <c r="G59" s="223">
        <v>1598</v>
      </c>
      <c r="H59" s="223">
        <v>1683</v>
      </c>
      <c r="I59" s="223">
        <v>1780</v>
      </c>
      <c r="J59" s="223">
        <v>1885</v>
      </c>
      <c r="K59" s="223">
        <v>1996</v>
      </c>
      <c r="L59" s="223">
        <v>2111</v>
      </c>
      <c r="M59" s="223">
        <v>2229</v>
      </c>
      <c r="N59" s="223">
        <v>2353</v>
      </c>
      <c r="O59" s="223">
        <v>2483</v>
      </c>
      <c r="P59" s="223">
        <v>2619</v>
      </c>
      <c r="Q59" s="223">
        <v>2759</v>
      </c>
      <c r="R59" s="223">
        <v>2906</v>
      </c>
      <c r="S59" s="223">
        <v>3060</v>
      </c>
      <c r="T59" s="223">
        <v>3224</v>
      </c>
      <c r="U59" s="223">
        <v>3397</v>
      </c>
      <c r="V59" s="224">
        <v>3582</v>
      </c>
    </row>
    <row r="60" spans="1:22" ht="15">
      <c r="A60" s="218" t="s">
        <v>40</v>
      </c>
      <c r="B60" s="225">
        <v>127114</v>
      </c>
      <c r="C60" s="225">
        <v>128740</v>
      </c>
      <c r="D60" s="225">
        <v>130383</v>
      </c>
      <c r="E60" s="225">
        <v>132030</v>
      </c>
      <c r="F60" s="225">
        <v>133678</v>
      </c>
      <c r="G60" s="225">
        <v>135326</v>
      </c>
      <c r="H60" s="225">
        <v>136970</v>
      </c>
      <c r="I60" s="225">
        <v>138609</v>
      </c>
      <c r="J60" s="225">
        <v>140239</v>
      </c>
      <c r="K60" s="225">
        <v>141858</v>
      </c>
      <c r="L60" s="225">
        <v>143453</v>
      </c>
      <c r="M60" s="225">
        <v>145031</v>
      </c>
      <c r="N60" s="225">
        <v>146592</v>
      </c>
      <c r="O60" s="225">
        <v>148132</v>
      </c>
      <c r="P60" s="225">
        <v>149650</v>
      </c>
      <c r="Q60" s="225">
        <v>151142</v>
      </c>
      <c r="R60" s="225">
        <v>152603</v>
      </c>
      <c r="S60" s="225">
        <v>154033</v>
      </c>
      <c r="T60" s="225">
        <v>155430</v>
      </c>
      <c r="U60" s="225">
        <v>156794</v>
      </c>
      <c r="V60" s="226">
        <v>158124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27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28.5">
      <c r="A1" s="240" t="s">
        <v>65</v>
      </c>
    </row>
    <row r="2" spans="1:8" ht="90">
      <c r="A2" s="84" t="s">
        <v>55</v>
      </c>
      <c r="B2" s="85" t="s">
        <v>81</v>
      </c>
      <c r="C2" s="85" t="s">
        <v>77</v>
      </c>
      <c r="D2" s="85" t="s">
        <v>51</v>
      </c>
      <c r="E2" s="85" t="s">
        <v>56</v>
      </c>
      <c r="F2" s="85" t="s">
        <v>79</v>
      </c>
      <c r="G2" s="85" t="s">
        <v>82</v>
      </c>
      <c r="H2" s="149" t="s">
        <v>57</v>
      </c>
    </row>
    <row r="3" spans="1:8" ht="15">
      <c r="A3" s="93">
        <v>28490</v>
      </c>
      <c r="B3" s="124">
        <v>72765</v>
      </c>
      <c r="C3" s="124">
        <v>60887</v>
      </c>
      <c r="D3" s="124">
        <v>1945</v>
      </c>
      <c r="E3" s="211">
        <v>1195.0826941711696</v>
      </c>
      <c r="F3" s="124">
        <v>58197</v>
      </c>
      <c r="G3" s="124">
        <v>3750</v>
      </c>
      <c r="H3" s="212">
        <v>1250.3221815557504</v>
      </c>
    </row>
    <row r="4" spans="1:8" ht="15">
      <c r="A4" s="213">
        <v>32508</v>
      </c>
      <c r="B4" s="126">
        <v>87028</v>
      </c>
      <c r="C4" s="126">
        <v>95764</v>
      </c>
      <c r="D4" s="126">
        <v>6022</v>
      </c>
      <c r="E4" s="214">
        <v>908.7757403617226</v>
      </c>
      <c r="F4" s="126">
        <v>91942</v>
      </c>
      <c r="G4" s="126">
        <v>9844</v>
      </c>
      <c r="H4" s="215">
        <v>946.5532618389855</v>
      </c>
    </row>
    <row r="5" spans="1:8" ht="15">
      <c r="A5" s="93">
        <v>35430</v>
      </c>
      <c r="B5" s="124">
        <v>93306</v>
      </c>
      <c r="C5" s="124">
        <v>117827</v>
      </c>
      <c r="D5" s="124">
        <v>8388</v>
      </c>
      <c r="E5" s="211">
        <v>791.88980454395</v>
      </c>
      <c r="F5" s="124">
        <v>112548</v>
      </c>
      <c r="G5" s="124">
        <v>13667</v>
      </c>
      <c r="H5" s="212">
        <v>829.0329459430643</v>
      </c>
    </row>
    <row r="6" spans="1:8" ht="15">
      <c r="A6" s="213">
        <v>37621</v>
      </c>
      <c r="B6" s="126">
        <v>97823</v>
      </c>
      <c r="C6" s="126">
        <v>135715</v>
      </c>
      <c r="D6" s="126">
        <v>11292</v>
      </c>
      <c r="E6" s="214">
        <v>720.7972589617949</v>
      </c>
      <c r="F6" s="126">
        <v>129167</v>
      </c>
      <c r="G6" s="126">
        <v>17840</v>
      </c>
      <c r="H6" s="215">
        <v>757.3374004196119</v>
      </c>
    </row>
    <row r="7" spans="1:8" ht="15">
      <c r="A7" s="93">
        <v>39447</v>
      </c>
      <c r="B7" s="124">
        <v>95291</v>
      </c>
      <c r="C7" s="124">
        <v>150799</v>
      </c>
      <c r="D7" s="124">
        <v>14650</v>
      </c>
      <c r="E7" s="211">
        <v>631.9073733910703</v>
      </c>
      <c r="F7" s="124">
        <v>143059</v>
      </c>
      <c r="G7" s="124">
        <v>22390</v>
      </c>
      <c r="H7" s="212">
        <v>666.0958066252385</v>
      </c>
    </row>
    <row r="8" spans="1:8" ht="15">
      <c r="A8" s="213">
        <v>39813</v>
      </c>
      <c r="B8" s="126">
        <v>94536</v>
      </c>
      <c r="C8" s="126">
        <v>154090</v>
      </c>
      <c r="D8" s="126">
        <v>15259</v>
      </c>
      <c r="E8" s="214">
        <v>613.5115841391395</v>
      </c>
      <c r="F8" s="126">
        <v>146111</v>
      </c>
      <c r="G8" s="126">
        <v>23238</v>
      </c>
      <c r="H8" s="215">
        <v>647.0149406957723</v>
      </c>
    </row>
    <row r="9" spans="1:8" ht="15">
      <c r="A9" s="93">
        <v>40178</v>
      </c>
      <c r="B9" s="124">
        <v>93656</v>
      </c>
      <c r="C9" s="124">
        <v>157501</v>
      </c>
      <c r="D9" s="124">
        <v>15911</v>
      </c>
      <c r="E9" s="211">
        <v>594.6374943651151</v>
      </c>
      <c r="F9" s="124">
        <v>149272</v>
      </c>
      <c r="G9" s="124">
        <v>24140</v>
      </c>
      <c r="H9" s="212">
        <v>627.4184039873519</v>
      </c>
    </row>
    <row r="10" spans="1:8" ht="15">
      <c r="A10" s="213">
        <v>40543</v>
      </c>
      <c r="B10" s="126">
        <v>92740</v>
      </c>
      <c r="C10" s="126">
        <v>160932</v>
      </c>
      <c r="D10" s="126">
        <v>16587</v>
      </c>
      <c r="E10" s="214">
        <v>576.2682375164666</v>
      </c>
      <c r="F10" s="126">
        <v>152416</v>
      </c>
      <c r="G10" s="126">
        <v>25103</v>
      </c>
      <c r="H10" s="215">
        <v>608.4663027503674</v>
      </c>
    </row>
    <row r="11" spans="1:8" ht="15">
      <c r="A11" s="93">
        <v>40908</v>
      </c>
      <c r="B11" s="124">
        <v>91908</v>
      </c>
      <c r="C11" s="124">
        <v>164262</v>
      </c>
      <c r="D11" s="124">
        <v>17285</v>
      </c>
      <c r="E11" s="211">
        <v>559.5207656061657</v>
      </c>
      <c r="F11" s="124">
        <v>155383</v>
      </c>
      <c r="G11" s="124">
        <v>26164</v>
      </c>
      <c r="H11" s="212">
        <v>591.4932779004139</v>
      </c>
    </row>
    <row r="12" spans="1:8" ht="15">
      <c r="A12" s="213">
        <v>41274</v>
      </c>
      <c r="B12" s="126">
        <v>91243</v>
      </c>
      <c r="C12" s="126">
        <v>167400</v>
      </c>
      <c r="D12" s="126">
        <v>18007</v>
      </c>
      <c r="E12" s="214">
        <v>545.0597371565113</v>
      </c>
      <c r="F12" s="126">
        <v>158061</v>
      </c>
      <c r="G12" s="126">
        <v>27345</v>
      </c>
      <c r="H12" s="215">
        <v>577.2644738423774</v>
      </c>
    </row>
    <row r="13" spans="1:8" ht="15">
      <c r="A13" s="93">
        <v>41639</v>
      </c>
      <c r="B13" s="124">
        <v>90782</v>
      </c>
      <c r="C13" s="124">
        <v>170306</v>
      </c>
      <c r="D13" s="124">
        <v>18750</v>
      </c>
      <c r="E13" s="211">
        <v>533.0522706187686</v>
      </c>
      <c r="F13" s="124">
        <v>160395</v>
      </c>
      <c r="G13" s="124">
        <v>28661</v>
      </c>
      <c r="H13" s="212">
        <v>565.9902116649521</v>
      </c>
    </row>
    <row r="14" spans="1:8" ht="15">
      <c r="A14" s="213">
        <v>42004</v>
      </c>
      <c r="B14" s="126">
        <v>90502</v>
      </c>
      <c r="C14" s="126">
        <v>172992</v>
      </c>
      <c r="D14" s="126">
        <v>19523</v>
      </c>
      <c r="E14" s="214">
        <v>523.1571402145764</v>
      </c>
      <c r="F14" s="126">
        <v>162413</v>
      </c>
      <c r="G14" s="126">
        <v>30103</v>
      </c>
      <c r="H14" s="215">
        <v>557.2337189756977</v>
      </c>
    </row>
    <row r="15" spans="1:8" ht="15">
      <c r="A15" s="93">
        <v>42369</v>
      </c>
      <c r="B15" s="124">
        <v>90350</v>
      </c>
      <c r="C15" s="124">
        <v>175477</v>
      </c>
      <c r="D15" s="124">
        <v>20354</v>
      </c>
      <c r="E15" s="211">
        <v>514.882292266223</v>
      </c>
      <c r="F15" s="124">
        <v>164195</v>
      </c>
      <c r="G15" s="124">
        <v>31637</v>
      </c>
      <c r="H15" s="212">
        <v>550.2603611559426</v>
      </c>
    </row>
    <row r="16" spans="1:8" ht="15">
      <c r="A16" s="213">
        <v>42735</v>
      </c>
      <c r="B16" s="126">
        <v>90243</v>
      </c>
      <c r="C16" s="126">
        <v>177806</v>
      </c>
      <c r="D16" s="126">
        <v>21276</v>
      </c>
      <c r="E16" s="214">
        <v>507.5363036118016</v>
      </c>
      <c r="F16" s="126">
        <v>165865</v>
      </c>
      <c r="G16" s="126">
        <v>33217</v>
      </c>
      <c r="H16" s="215">
        <v>544.0750007536249</v>
      </c>
    </row>
    <row r="17" spans="1:8" ht="15">
      <c r="A17" s="93">
        <v>43100</v>
      </c>
      <c r="B17" s="124">
        <v>90097</v>
      </c>
      <c r="C17" s="124">
        <v>180009</v>
      </c>
      <c r="D17" s="124">
        <v>22309</v>
      </c>
      <c r="E17" s="211">
        <v>500.51386319572913</v>
      </c>
      <c r="F17" s="124">
        <v>167504</v>
      </c>
      <c r="G17" s="124">
        <v>34814</v>
      </c>
      <c r="H17" s="212">
        <v>537.8796924252555</v>
      </c>
    </row>
    <row r="18" spans="1:8" ht="15">
      <c r="A18" s="213">
        <v>43465</v>
      </c>
      <c r="B18" s="126">
        <v>89914</v>
      </c>
      <c r="C18" s="126">
        <v>182090</v>
      </c>
      <c r="D18" s="126">
        <v>23468</v>
      </c>
      <c r="E18" s="214">
        <v>493.7887857652809</v>
      </c>
      <c r="F18" s="126">
        <v>169144</v>
      </c>
      <c r="G18" s="126">
        <v>36413</v>
      </c>
      <c r="H18" s="215">
        <v>531.5825568746158</v>
      </c>
    </row>
    <row r="19" spans="1:8" ht="15">
      <c r="A19" s="93">
        <v>43830</v>
      </c>
      <c r="B19" s="124">
        <v>89710</v>
      </c>
      <c r="C19" s="124">
        <v>184036</v>
      </c>
      <c r="D19" s="124">
        <v>24741</v>
      </c>
      <c r="E19" s="211">
        <v>487.458975417853</v>
      </c>
      <c r="F19" s="124">
        <v>170747</v>
      </c>
      <c r="G19" s="124">
        <v>38030</v>
      </c>
      <c r="H19" s="212">
        <v>525.3972251342631</v>
      </c>
    </row>
    <row r="20" spans="1:8" ht="15">
      <c r="A20" s="213">
        <v>44196</v>
      </c>
      <c r="B20" s="126">
        <v>89518</v>
      </c>
      <c r="C20" s="126">
        <v>185844</v>
      </c>
      <c r="D20" s="126">
        <v>26098</v>
      </c>
      <c r="E20" s="214">
        <v>481.6835625578442</v>
      </c>
      <c r="F20" s="126">
        <v>172236</v>
      </c>
      <c r="G20" s="126">
        <v>39707</v>
      </c>
      <c r="H20" s="215">
        <v>519.7403562553706</v>
      </c>
    </row>
    <row r="21" spans="1:8" ht="15">
      <c r="A21" s="93">
        <v>44561</v>
      </c>
      <c r="B21" s="124">
        <v>89372</v>
      </c>
      <c r="C21" s="124">
        <v>187516</v>
      </c>
      <c r="D21" s="124">
        <v>27497</v>
      </c>
      <c r="E21" s="211">
        <v>476.6099959470125</v>
      </c>
      <c r="F21" s="124">
        <v>173514</v>
      </c>
      <c r="G21" s="124">
        <v>41499</v>
      </c>
      <c r="H21" s="212">
        <v>515.0708300194798</v>
      </c>
    </row>
    <row r="22" spans="1:8" ht="15">
      <c r="A22" s="213">
        <v>44926</v>
      </c>
      <c r="B22" s="126">
        <v>89296</v>
      </c>
      <c r="C22" s="126">
        <v>189049</v>
      </c>
      <c r="D22" s="126">
        <v>28909</v>
      </c>
      <c r="E22" s="214">
        <v>472.34314913064867</v>
      </c>
      <c r="F22" s="126">
        <v>174515</v>
      </c>
      <c r="G22" s="126">
        <v>43443</v>
      </c>
      <c r="H22" s="215">
        <v>511.68094433143284</v>
      </c>
    </row>
    <row r="23" spans="1:8" ht="15">
      <c r="A23" s="93">
        <v>45291</v>
      </c>
      <c r="B23" s="124">
        <v>89385</v>
      </c>
      <c r="C23" s="124">
        <v>190354</v>
      </c>
      <c r="D23" s="124">
        <v>30321</v>
      </c>
      <c r="E23" s="211">
        <v>469.5724807463988</v>
      </c>
      <c r="F23" s="124">
        <v>175128</v>
      </c>
      <c r="G23" s="124">
        <v>45547</v>
      </c>
      <c r="H23" s="212">
        <v>510.3981088118405</v>
      </c>
    </row>
    <row r="24" spans="1:8" ht="15">
      <c r="A24" s="213">
        <v>45657</v>
      </c>
      <c r="B24" s="126">
        <v>89436</v>
      </c>
      <c r="C24" s="126">
        <v>191615</v>
      </c>
      <c r="D24" s="126">
        <v>31749</v>
      </c>
      <c r="E24" s="214">
        <v>466.74842783706913</v>
      </c>
      <c r="F24" s="126">
        <v>175578</v>
      </c>
      <c r="G24" s="126">
        <v>47786</v>
      </c>
      <c r="H24" s="215">
        <v>509.3804462973721</v>
      </c>
    </row>
    <row r="25" spans="1:8" ht="15">
      <c r="A25" s="93">
        <v>46022</v>
      </c>
      <c r="B25" s="124">
        <v>89447</v>
      </c>
      <c r="C25" s="124">
        <v>192790</v>
      </c>
      <c r="D25" s="124">
        <v>33233</v>
      </c>
      <c r="E25" s="211">
        <v>463.9607863478396</v>
      </c>
      <c r="F25" s="124">
        <v>175903</v>
      </c>
      <c r="G25" s="124">
        <v>50121</v>
      </c>
      <c r="H25" s="212">
        <v>508.501844766718</v>
      </c>
    </row>
    <row r="26" spans="1:8" ht="15">
      <c r="A26" s="213">
        <v>46387</v>
      </c>
      <c r="B26" s="126">
        <v>89417</v>
      </c>
      <c r="C26" s="126">
        <v>193826</v>
      </c>
      <c r="D26" s="126">
        <v>34829</v>
      </c>
      <c r="E26" s="214">
        <v>461.3261378762395</v>
      </c>
      <c r="F26" s="126">
        <v>176156</v>
      </c>
      <c r="G26" s="126">
        <v>52498</v>
      </c>
      <c r="H26" s="215">
        <v>507.6012171030223</v>
      </c>
    </row>
    <row r="27" spans="1:8" ht="15">
      <c r="A27" s="93">
        <v>46752</v>
      </c>
      <c r="B27" s="124">
        <v>89345</v>
      </c>
      <c r="C27" s="124">
        <v>194689</v>
      </c>
      <c r="D27" s="124">
        <v>36569</v>
      </c>
      <c r="E27" s="211">
        <v>458.9113920149572</v>
      </c>
      <c r="F27" s="124">
        <v>176380</v>
      </c>
      <c r="G27" s="124">
        <v>54877</v>
      </c>
      <c r="H27" s="212">
        <v>506.5483614922327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E24"/>
  <sheetViews>
    <sheetView zoomScalePageLayoutView="0" workbookViewId="0" topLeftCell="A1">
      <selection activeCell="A1" sqref="A1:E1"/>
    </sheetView>
  </sheetViews>
  <sheetFormatPr defaultColWidth="11.421875" defaultRowHeight="15"/>
  <cols>
    <col min="1" max="5" width="15.421875" style="0" customWidth="1"/>
  </cols>
  <sheetData>
    <row r="1" spans="1:5" ht="99.75" customHeight="1">
      <c r="A1" s="234" t="s">
        <v>132</v>
      </c>
      <c r="B1" s="234"/>
      <c r="C1" s="234"/>
      <c r="D1" s="234"/>
      <c r="E1" s="234"/>
    </row>
    <row r="3" spans="1:5" ht="60">
      <c r="A3" s="84" t="s">
        <v>2</v>
      </c>
      <c r="B3" s="85" t="s">
        <v>74</v>
      </c>
      <c r="C3" s="84" t="s">
        <v>83</v>
      </c>
      <c r="D3" s="85" t="s">
        <v>76</v>
      </c>
      <c r="E3" s="84" t="s">
        <v>75</v>
      </c>
    </row>
    <row r="4" spans="1:5" ht="15">
      <c r="A4" s="94">
        <v>39447</v>
      </c>
      <c r="B4" s="87">
        <v>260740</v>
      </c>
      <c r="C4" s="98">
        <v>143059</v>
      </c>
      <c r="D4" s="96"/>
      <c r="E4" s="100"/>
    </row>
    <row r="5" spans="1:5" ht="15">
      <c r="A5" s="91">
        <v>39813</v>
      </c>
      <c r="B5" s="92">
        <v>263885</v>
      </c>
      <c r="C5" s="92">
        <v>146111</v>
      </c>
      <c r="D5" s="95">
        <f>(B5/B4-1)*100</f>
        <v>1.2061824039272917</v>
      </c>
      <c r="E5" s="99">
        <f>(C5/C4-1)*100</f>
        <v>2.1333855262513968</v>
      </c>
    </row>
    <row r="6" spans="1:5" ht="15">
      <c r="A6" s="94">
        <v>40178</v>
      </c>
      <c r="B6" s="87">
        <v>267067</v>
      </c>
      <c r="C6" s="98">
        <v>149272</v>
      </c>
      <c r="D6" s="96">
        <f aca="true" t="shared" si="0" ref="D6:D24">(B6/B5-1)*100</f>
        <v>1.2058282964169997</v>
      </c>
      <c r="E6" s="100">
        <f aca="true" t="shared" si="1" ref="E6:E24">(C6/C5-1)*100</f>
        <v>2.163423698421063</v>
      </c>
    </row>
    <row r="7" spans="1:5" ht="15">
      <c r="A7" s="91">
        <v>40543</v>
      </c>
      <c r="B7" s="92">
        <v>270259</v>
      </c>
      <c r="C7" s="92">
        <v>152416</v>
      </c>
      <c r="D7" s="95">
        <f t="shared" si="0"/>
        <v>1.1952056974467107</v>
      </c>
      <c r="E7" s="99">
        <f t="shared" si="1"/>
        <v>2.1062221984029073</v>
      </c>
    </row>
    <row r="8" spans="1:5" ht="15">
      <c r="A8" s="94">
        <v>40908</v>
      </c>
      <c r="B8" s="87">
        <v>273455</v>
      </c>
      <c r="C8" s="98">
        <v>155383</v>
      </c>
      <c r="D8" s="96">
        <f t="shared" si="0"/>
        <v>1.182569313140358</v>
      </c>
      <c r="E8" s="100">
        <f t="shared" si="1"/>
        <v>1.9466460214150771</v>
      </c>
    </row>
    <row r="9" spans="1:5" ht="15">
      <c r="A9" s="91">
        <v>41274</v>
      </c>
      <c r="B9" s="92">
        <v>276649</v>
      </c>
      <c r="C9" s="92">
        <v>158061</v>
      </c>
      <c r="D9" s="95">
        <f t="shared" si="0"/>
        <v>1.168016675504191</v>
      </c>
      <c r="E9" s="99">
        <f t="shared" si="1"/>
        <v>1.7234832639349218</v>
      </c>
    </row>
    <row r="10" spans="1:5" ht="15">
      <c r="A10" s="94">
        <v>41639</v>
      </c>
      <c r="B10" s="87">
        <v>279838</v>
      </c>
      <c r="C10" s="98">
        <v>160395</v>
      </c>
      <c r="D10" s="96">
        <f t="shared" si="0"/>
        <v>1.1527242101001534</v>
      </c>
      <c r="E10" s="100">
        <f t="shared" si="1"/>
        <v>1.4766450927173658</v>
      </c>
    </row>
    <row r="11" spans="1:5" ht="15">
      <c r="A11" s="91">
        <v>42004</v>
      </c>
      <c r="B11" s="92">
        <v>283018</v>
      </c>
      <c r="C11" s="92">
        <v>162413</v>
      </c>
      <c r="D11" s="95">
        <f t="shared" si="0"/>
        <v>1.1363717579456756</v>
      </c>
      <c r="E11" s="99">
        <f t="shared" si="1"/>
        <v>1.258143957105884</v>
      </c>
    </row>
    <row r="12" spans="1:5" ht="15">
      <c r="A12" s="94">
        <v>42369</v>
      </c>
      <c r="B12" s="87">
        <v>286181</v>
      </c>
      <c r="C12" s="98">
        <v>164195</v>
      </c>
      <c r="D12" s="96">
        <f t="shared" si="0"/>
        <v>1.1175967606300574</v>
      </c>
      <c r="E12" s="100">
        <f t="shared" si="1"/>
        <v>1.0972028101198905</v>
      </c>
    </row>
    <row r="13" spans="1:5" ht="15">
      <c r="A13" s="91">
        <v>42735</v>
      </c>
      <c r="B13" s="92">
        <v>289324</v>
      </c>
      <c r="C13" s="92">
        <v>165865</v>
      </c>
      <c r="D13" s="95">
        <f t="shared" si="0"/>
        <v>1.0982559988259144</v>
      </c>
      <c r="E13" s="99">
        <f t="shared" si="1"/>
        <v>1.0170833460215079</v>
      </c>
    </row>
    <row r="14" spans="1:5" ht="15">
      <c r="A14" s="94">
        <v>43100</v>
      </c>
      <c r="B14" s="87">
        <v>292416</v>
      </c>
      <c r="C14" s="98">
        <v>167504</v>
      </c>
      <c r="D14" s="96">
        <f t="shared" si="0"/>
        <v>1.0686980686012815</v>
      </c>
      <c r="E14" s="100">
        <f t="shared" si="1"/>
        <v>0.9881530160069874</v>
      </c>
    </row>
    <row r="15" spans="1:5" ht="15">
      <c r="A15" s="91">
        <v>43465</v>
      </c>
      <c r="B15" s="92">
        <v>295471</v>
      </c>
      <c r="C15" s="92">
        <v>169144</v>
      </c>
      <c r="D15" s="95">
        <f t="shared" si="0"/>
        <v>1.0447444736266132</v>
      </c>
      <c r="E15" s="99">
        <f t="shared" si="1"/>
        <v>0.979081096570833</v>
      </c>
    </row>
    <row r="16" spans="1:5" ht="15">
      <c r="A16" s="94">
        <v>43830</v>
      </c>
      <c r="B16" s="87">
        <v>298488</v>
      </c>
      <c r="C16" s="98">
        <v>170747</v>
      </c>
      <c r="D16" s="96">
        <f t="shared" si="0"/>
        <v>1.0210815951480878</v>
      </c>
      <c r="E16" s="100">
        <f t="shared" si="1"/>
        <v>0.9477131911270975</v>
      </c>
    </row>
    <row r="17" spans="1:5" ht="15">
      <c r="A17" s="91">
        <v>44196</v>
      </c>
      <c r="B17" s="92">
        <v>301460</v>
      </c>
      <c r="C17" s="92">
        <v>172236</v>
      </c>
      <c r="D17" s="95">
        <f t="shared" si="0"/>
        <v>0.9956849186566918</v>
      </c>
      <c r="E17" s="99">
        <f t="shared" si="1"/>
        <v>0.8720504606230195</v>
      </c>
    </row>
    <row r="18" spans="1:5" ht="15">
      <c r="A18" s="94">
        <v>44561</v>
      </c>
      <c r="B18" s="87">
        <v>304385</v>
      </c>
      <c r="C18" s="98">
        <v>173514</v>
      </c>
      <c r="D18" s="96">
        <f t="shared" si="0"/>
        <v>0.9702779804949158</v>
      </c>
      <c r="E18" s="100">
        <f t="shared" si="1"/>
        <v>0.7420051557165852</v>
      </c>
    </row>
    <row r="19" spans="1:5" ht="15">
      <c r="A19" s="91">
        <v>44926</v>
      </c>
      <c r="B19" s="92">
        <v>307254</v>
      </c>
      <c r="C19" s="92">
        <v>174515</v>
      </c>
      <c r="D19" s="95">
        <f t="shared" si="0"/>
        <v>0.942556302051667</v>
      </c>
      <c r="E19" s="99">
        <f t="shared" si="1"/>
        <v>0.576898694053507</v>
      </c>
    </row>
    <row r="20" spans="1:5" ht="15">
      <c r="A20" s="94">
        <v>45291</v>
      </c>
      <c r="B20" s="87">
        <v>310060</v>
      </c>
      <c r="C20" s="98">
        <v>175128</v>
      </c>
      <c r="D20" s="96">
        <f t="shared" si="0"/>
        <v>0.9132509259440091</v>
      </c>
      <c r="E20" s="100">
        <f t="shared" si="1"/>
        <v>0.351259204079879</v>
      </c>
    </row>
    <row r="21" spans="1:5" ht="15">
      <c r="A21" s="91">
        <v>45657</v>
      </c>
      <c r="B21" s="92">
        <v>312799</v>
      </c>
      <c r="C21" s="92">
        <v>175578</v>
      </c>
      <c r="D21" s="95">
        <f t="shared" si="0"/>
        <v>0.8833774108237158</v>
      </c>
      <c r="E21" s="99">
        <f t="shared" si="1"/>
        <v>0.2569549129779469</v>
      </c>
    </row>
    <row r="22" spans="1:5" ht="15">
      <c r="A22" s="94">
        <v>46022</v>
      </c>
      <c r="B22" s="87">
        <v>315470</v>
      </c>
      <c r="C22" s="98">
        <v>175903</v>
      </c>
      <c r="D22" s="96">
        <f t="shared" si="0"/>
        <v>0.853902985623356</v>
      </c>
      <c r="E22" s="100">
        <f t="shared" si="1"/>
        <v>0.1851029172219798</v>
      </c>
    </row>
    <row r="23" spans="1:5" ht="15">
      <c r="A23" s="91">
        <v>46387</v>
      </c>
      <c r="B23" s="92">
        <v>318071</v>
      </c>
      <c r="C23" s="92">
        <v>176156</v>
      </c>
      <c r="D23" s="95">
        <f t="shared" si="0"/>
        <v>0.8244841030842887</v>
      </c>
      <c r="E23" s="99">
        <f t="shared" si="1"/>
        <v>0.14382926954059627</v>
      </c>
    </row>
    <row r="24" spans="1:5" ht="15">
      <c r="A24" s="94">
        <v>46752</v>
      </c>
      <c r="B24" s="87">
        <v>320605</v>
      </c>
      <c r="C24" s="98">
        <v>176380</v>
      </c>
      <c r="D24" s="96">
        <f t="shared" si="0"/>
        <v>0.7966774713821678</v>
      </c>
      <c r="E24" s="100">
        <f t="shared" si="1"/>
        <v>0.12716001725743276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W124"/>
  <sheetViews>
    <sheetView zoomScalePageLayoutView="0" workbookViewId="0" topLeftCell="A1">
      <selection activeCell="A1" sqref="A1"/>
    </sheetView>
  </sheetViews>
  <sheetFormatPr defaultColWidth="11.421875" defaultRowHeight="15"/>
  <cols>
    <col min="1" max="2" width="18.421875" style="75" customWidth="1"/>
    <col min="3" max="7" width="11.57421875" style="75" customWidth="1"/>
    <col min="8" max="16384" width="11.421875" style="75" customWidth="1"/>
  </cols>
  <sheetData>
    <row r="1" ht="28.5">
      <c r="A1" s="19" t="s">
        <v>131</v>
      </c>
    </row>
    <row r="3" spans="1:5" ht="28.5">
      <c r="A3" s="19" t="s">
        <v>66</v>
      </c>
      <c r="E3" s="117" t="s">
        <v>88</v>
      </c>
    </row>
    <row r="4" spans="1:7" ht="15">
      <c r="A4" s="132" t="s">
        <v>67</v>
      </c>
      <c r="B4" s="133" t="s">
        <v>63</v>
      </c>
      <c r="C4" s="133" t="s">
        <v>64</v>
      </c>
      <c r="D4" s="133" t="s">
        <v>5</v>
      </c>
      <c r="E4" s="134" t="s">
        <v>63</v>
      </c>
      <c r="F4" s="134" t="s">
        <v>93</v>
      </c>
      <c r="G4" s="135" t="s">
        <v>73</v>
      </c>
    </row>
    <row r="5" spans="1:7" ht="15">
      <c r="A5" s="136" t="s">
        <v>22</v>
      </c>
      <c r="B5" s="137">
        <v>0</v>
      </c>
      <c r="C5" s="137">
        <v>0</v>
      </c>
      <c r="D5" s="137">
        <v>0</v>
      </c>
      <c r="E5" s="118">
        <v>0</v>
      </c>
      <c r="F5" s="118">
        <v>0</v>
      </c>
      <c r="G5" s="119">
        <v>0</v>
      </c>
    </row>
    <row r="6" spans="1:7" ht="15">
      <c r="A6" s="138" t="s">
        <v>23</v>
      </c>
      <c r="B6" s="139">
        <v>0</v>
      </c>
      <c r="C6" s="139">
        <v>0</v>
      </c>
      <c r="D6" s="139">
        <v>0</v>
      </c>
      <c r="E6" s="120">
        <v>0</v>
      </c>
      <c r="F6" s="120">
        <v>0</v>
      </c>
      <c r="G6" s="121">
        <v>0</v>
      </c>
    </row>
    <row r="7" spans="1:7" ht="15">
      <c r="A7" s="136" t="s">
        <v>24</v>
      </c>
      <c r="B7" s="137">
        <v>0</v>
      </c>
      <c r="C7" s="137">
        <v>0</v>
      </c>
      <c r="D7" s="137">
        <v>0</v>
      </c>
      <c r="E7" s="120">
        <v>0</v>
      </c>
      <c r="F7" s="120">
        <v>0</v>
      </c>
      <c r="G7" s="121">
        <v>0</v>
      </c>
    </row>
    <row r="8" spans="1:7" ht="15">
      <c r="A8" s="138" t="s">
        <v>25</v>
      </c>
      <c r="B8" s="139">
        <v>18.952934167411378</v>
      </c>
      <c r="C8" s="139">
        <v>9.903324687573685</v>
      </c>
      <c r="D8" s="139">
        <v>14.550112806393637</v>
      </c>
      <c r="E8" s="120">
        <v>53.20235756385069</v>
      </c>
      <c r="F8" s="120">
        <v>37.61904761904762</v>
      </c>
      <c r="G8" s="121">
        <v>48.042049934296976</v>
      </c>
    </row>
    <row r="9" spans="1:7" ht="15">
      <c r="A9" s="136" t="s">
        <v>26</v>
      </c>
      <c r="B9" s="137">
        <v>72.02040636819422</v>
      </c>
      <c r="C9" s="137">
        <v>53.51245202177988</v>
      </c>
      <c r="D9" s="137">
        <v>62.83448520290625</v>
      </c>
      <c r="E9" s="120">
        <v>73.44894968246214</v>
      </c>
      <c r="F9" s="120">
        <v>66.52210175145954</v>
      </c>
      <c r="G9" s="121">
        <v>70.52104632306282</v>
      </c>
    </row>
    <row r="10" spans="1:7" ht="15">
      <c r="A10" s="138" t="s">
        <v>27</v>
      </c>
      <c r="B10" s="139">
        <v>85.32852407876778</v>
      </c>
      <c r="C10" s="139">
        <v>68.1386751923269</v>
      </c>
      <c r="D10" s="139">
        <v>76.8391967237381</v>
      </c>
      <c r="E10" s="120">
        <v>86.93019536159031</v>
      </c>
      <c r="F10" s="120">
        <v>84.14956011730206</v>
      </c>
      <c r="G10" s="121">
        <v>85.71245103705131</v>
      </c>
    </row>
    <row r="11" spans="1:7" ht="15">
      <c r="A11" s="136" t="s">
        <v>28</v>
      </c>
      <c r="B11" s="137">
        <v>87.72970345162858</v>
      </c>
      <c r="C11" s="137">
        <v>68.97078285656113</v>
      </c>
      <c r="D11" s="137">
        <v>78.56574497712353</v>
      </c>
      <c r="E11" s="120">
        <v>91.36650781336584</v>
      </c>
      <c r="F11" s="120">
        <v>89.96309963099631</v>
      </c>
      <c r="G11" s="121">
        <v>90.7646537536397</v>
      </c>
    </row>
    <row r="12" spans="1:7" ht="15">
      <c r="A12" s="138" t="s">
        <v>29</v>
      </c>
      <c r="B12" s="139">
        <v>87.53703703703704</v>
      </c>
      <c r="C12" s="139">
        <v>66.94664031620553</v>
      </c>
      <c r="D12" s="139">
        <v>77.57648183556405</v>
      </c>
      <c r="E12" s="120">
        <v>92.9024751427967</v>
      </c>
      <c r="F12" s="120">
        <v>92.44280442804428</v>
      </c>
      <c r="G12" s="121">
        <v>92.71057982623698</v>
      </c>
    </row>
    <row r="13" spans="1:7" ht="15">
      <c r="A13" s="136" t="s">
        <v>30</v>
      </c>
      <c r="B13" s="137">
        <v>87.27096461463888</v>
      </c>
      <c r="C13" s="137">
        <v>65.43364681295716</v>
      </c>
      <c r="D13" s="137">
        <v>76.76137792305758</v>
      </c>
      <c r="E13" s="120">
        <v>94.29015774272384</v>
      </c>
      <c r="F13" s="120">
        <v>94.80996486745448</v>
      </c>
      <c r="G13" s="121">
        <v>94.50340670859538</v>
      </c>
    </row>
    <row r="14" spans="1:7" ht="15">
      <c r="A14" s="138" t="s">
        <v>31</v>
      </c>
      <c r="B14" s="139">
        <v>85.56762564163782</v>
      </c>
      <c r="C14" s="139">
        <v>60.4635935044526</v>
      </c>
      <c r="D14" s="139">
        <v>73.59645288203335</v>
      </c>
      <c r="E14" s="120">
        <v>95.36830357142857</v>
      </c>
      <c r="F14" s="120">
        <v>95.90643274853801</v>
      </c>
      <c r="G14" s="121">
        <v>95.57912600763683</v>
      </c>
    </row>
    <row r="15" spans="1:7" ht="15">
      <c r="A15" s="136" t="s">
        <v>32</v>
      </c>
      <c r="B15" s="137">
        <v>72.866490324377</v>
      </c>
      <c r="C15" s="137">
        <v>50.938461538461546</v>
      </c>
      <c r="D15" s="137">
        <v>62.44975517064971</v>
      </c>
      <c r="E15" s="120">
        <v>97.22965227359572</v>
      </c>
      <c r="F15" s="120">
        <v>98.00664451827242</v>
      </c>
      <c r="G15" s="121">
        <v>97.530719719134</v>
      </c>
    </row>
    <row r="16" spans="1:7" ht="15">
      <c r="A16" s="138" t="s">
        <v>33</v>
      </c>
      <c r="B16" s="139">
        <v>52.473704713673555</v>
      </c>
      <c r="C16" s="139">
        <v>33.284580025073126</v>
      </c>
      <c r="D16" s="139">
        <v>43.21572580645161</v>
      </c>
      <c r="E16" s="120">
        <v>98.51521900519673</v>
      </c>
      <c r="F16" s="120">
        <v>99.18392969240428</v>
      </c>
      <c r="G16" s="121">
        <v>98.76370422206672</v>
      </c>
    </row>
    <row r="17" spans="1:7" ht="15">
      <c r="A17" s="136" t="s">
        <v>34</v>
      </c>
      <c r="B17" s="137">
        <v>25</v>
      </c>
      <c r="C17" s="137">
        <v>14.887940234791888</v>
      </c>
      <c r="D17" s="137">
        <v>20.153452685421993</v>
      </c>
      <c r="E17" s="120">
        <v>99.41060903732809</v>
      </c>
      <c r="F17" s="120">
        <v>99.6415770609319</v>
      </c>
      <c r="G17" s="121">
        <v>99.49238578680203</v>
      </c>
    </row>
    <row r="18" spans="1:7" ht="15">
      <c r="A18" s="138" t="s">
        <v>35</v>
      </c>
      <c r="B18" s="139">
        <v>12.040682414698162</v>
      </c>
      <c r="C18" s="139">
        <v>6.380753138075314</v>
      </c>
      <c r="D18" s="139">
        <v>9.296822177146721</v>
      </c>
      <c r="E18" s="120">
        <v>98.36512261580381</v>
      </c>
      <c r="F18" s="120">
        <v>100</v>
      </c>
      <c r="G18" s="121">
        <v>98.9090909090909</v>
      </c>
    </row>
    <row r="19" spans="1:7" ht="15">
      <c r="A19" s="136" t="s">
        <v>36</v>
      </c>
      <c r="B19" s="137">
        <v>6.951620479098168</v>
      </c>
      <c r="C19" s="137">
        <v>2.8557829604950022</v>
      </c>
      <c r="D19" s="137">
        <v>4.91725768321513</v>
      </c>
      <c r="E19" s="120">
        <v>98.64864864864865</v>
      </c>
      <c r="F19" s="120">
        <v>100</v>
      </c>
      <c r="G19" s="121">
        <v>99.03846153846155</v>
      </c>
    </row>
    <row r="20" spans="1:7" ht="15">
      <c r="A20" s="138" t="s">
        <v>37</v>
      </c>
      <c r="B20" s="139">
        <v>5.739692805173808</v>
      </c>
      <c r="C20" s="139">
        <v>1.8142235123367199</v>
      </c>
      <c r="D20" s="139">
        <v>3.67112810707457</v>
      </c>
      <c r="E20" s="120">
        <v>97.1830985915493</v>
      </c>
      <c r="F20" s="120">
        <v>96</v>
      </c>
      <c r="G20" s="121">
        <v>96.875</v>
      </c>
    </row>
    <row r="21" spans="1:7" ht="15">
      <c r="A21" s="136" t="s">
        <v>38</v>
      </c>
      <c r="B21" s="137">
        <v>1.8450184501845017</v>
      </c>
      <c r="C21" s="137">
        <v>0.9501187648456058</v>
      </c>
      <c r="D21" s="137">
        <v>1.300578034682081</v>
      </c>
      <c r="E21" s="120">
        <v>100</v>
      </c>
      <c r="F21" s="120">
        <v>100</v>
      </c>
      <c r="G21" s="121">
        <v>100</v>
      </c>
    </row>
    <row r="22" spans="1:7" ht="15">
      <c r="A22" s="138" t="s">
        <v>41</v>
      </c>
      <c r="B22" s="139">
        <v>64.68389403542987</v>
      </c>
      <c r="C22" s="139">
        <v>47.206811198361216</v>
      </c>
      <c r="D22" s="139">
        <v>56.15997835317626</v>
      </c>
      <c r="E22" s="120">
        <v>88.99811557788945</v>
      </c>
      <c r="F22" s="120">
        <v>87.20336301586585</v>
      </c>
      <c r="G22" s="121">
        <v>88.26232789133294</v>
      </c>
    </row>
    <row r="24" ht="28.5">
      <c r="A24" s="19" t="s">
        <v>87</v>
      </c>
    </row>
    <row r="25" spans="1:7" ht="15">
      <c r="A25" s="21"/>
      <c r="B25" s="235">
        <v>2027</v>
      </c>
      <c r="C25" s="235"/>
      <c r="D25" s="235">
        <v>2007</v>
      </c>
      <c r="E25" s="235"/>
      <c r="F25" s="235">
        <v>1988</v>
      </c>
      <c r="G25" s="235"/>
    </row>
    <row r="26" spans="1:7" ht="15">
      <c r="A26" s="21" t="s">
        <v>21</v>
      </c>
      <c r="B26" s="21" t="str">
        <f>_xlfn.COMPOUNDVALUE(1)</f>
        <v>Hommes</v>
      </c>
      <c r="C26" s="21" t="str">
        <f>_xlfn.COMPOUNDVALUE(2)</f>
        <v>Femmes</v>
      </c>
      <c r="D26" s="21" t="str">
        <f>_xlfn.COMPOUNDVALUE(1)</f>
        <v>Hommes</v>
      </c>
      <c r="E26" s="21" t="str">
        <f>_xlfn.COMPOUNDVALUE(2)</f>
        <v>Femmes</v>
      </c>
      <c r="F26" s="21" t="str">
        <f>_xlfn.COMPOUNDVALUE(1)</f>
        <v>Hommes</v>
      </c>
      <c r="G26" s="21" t="str">
        <f>_xlfn.COMPOUNDVALUE(2)</f>
        <v>Femmes</v>
      </c>
    </row>
    <row r="27" spans="1:7" ht="15">
      <c r="A27" s="22" t="str">
        <f>_xlfn.COMPOUNDVALUE(3)</f>
        <v>Moins de 5 ans</v>
      </c>
      <c r="B27" s="75">
        <v>11156</v>
      </c>
      <c r="C27" s="75">
        <v>10602</v>
      </c>
      <c r="D27" s="39">
        <v>11193</v>
      </c>
      <c r="E27" s="39">
        <v>10557</v>
      </c>
      <c r="F27" s="39">
        <f>_xlfn.COMPOUNDVALUE(4)</f>
        <v>12219.000000000002</v>
      </c>
      <c r="G27" s="39">
        <f>_xlfn.COMPOUNDVALUE(5)</f>
        <v>11677</v>
      </c>
    </row>
    <row r="28" spans="1:7" ht="15">
      <c r="A28" s="22" t="str">
        <f>_xlfn.COMPOUNDVALUE(6)</f>
        <v>5-9 ans</v>
      </c>
      <c r="B28" s="75">
        <v>11560</v>
      </c>
      <c r="C28" s="75">
        <v>10954</v>
      </c>
      <c r="D28" s="39">
        <v>11890</v>
      </c>
      <c r="E28" s="39">
        <v>11433</v>
      </c>
      <c r="F28" s="39">
        <f>_xlfn.COMPOUNDVALUE(7)</f>
        <v>11376</v>
      </c>
      <c r="G28" s="39">
        <f>_xlfn.COMPOUNDVALUE(8)</f>
        <v>10806</v>
      </c>
    </row>
    <row r="29" spans="1:7" ht="15">
      <c r="A29" s="22" t="str">
        <f>_xlfn.COMPOUNDVALUE(9)</f>
        <v>10-14 ans</v>
      </c>
      <c r="B29" s="75">
        <v>11697</v>
      </c>
      <c r="C29" s="75">
        <v>11054</v>
      </c>
      <c r="D29" s="39">
        <v>12317</v>
      </c>
      <c r="E29" s="39">
        <v>11572</v>
      </c>
      <c r="F29" s="39">
        <f>_xlfn.COMPOUNDVALUE(10)</f>
        <v>10526</v>
      </c>
      <c r="G29" s="39">
        <f>_xlfn.COMPOUNDVALUE(11)</f>
        <v>10006</v>
      </c>
    </row>
    <row r="30" spans="1:7" ht="15">
      <c r="A30" s="22" t="str">
        <f>_xlfn.COMPOUNDVALUE(12)</f>
        <v>15-19 ans</v>
      </c>
      <c r="B30" s="75">
        <v>11484</v>
      </c>
      <c r="C30" s="75">
        <v>10839</v>
      </c>
      <c r="D30" s="39">
        <v>13621</v>
      </c>
      <c r="E30" s="39">
        <v>12708</v>
      </c>
      <c r="F30" s="39">
        <f>_xlfn.COMPOUNDVALUE(13)</f>
        <v>10504</v>
      </c>
      <c r="G30" s="39">
        <f>_xlfn.COMPOUNDVALUE(14)</f>
        <v>9914</v>
      </c>
    </row>
    <row r="31" spans="1:7" ht="15">
      <c r="A31" s="22" t="str">
        <f>_xlfn.COMPOUNDVALUE(15)</f>
        <v>20-24 ans</v>
      </c>
      <c r="B31" s="75">
        <v>11141</v>
      </c>
      <c r="C31" s="75">
        <v>10525</v>
      </c>
      <c r="D31" s="39">
        <v>11444</v>
      </c>
      <c r="E31" s="39">
        <v>11580</v>
      </c>
      <c r="F31" s="39">
        <f>_xlfn.COMPOUNDVALUE(16)</f>
        <v>10176</v>
      </c>
      <c r="G31" s="39">
        <f>_xlfn.COMPOUNDVALUE(17)</f>
        <v>9133</v>
      </c>
    </row>
    <row r="32" spans="1:7" ht="15">
      <c r="A32" s="22" t="str">
        <f>_xlfn.COMPOUNDVALUE(18)</f>
        <v>25-29 ans</v>
      </c>
      <c r="B32" s="75">
        <v>11836</v>
      </c>
      <c r="C32" s="75">
        <v>11411</v>
      </c>
      <c r="D32" s="39">
        <v>9779</v>
      </c>
      <c r="E32" s="39">
        <v>9369</v>
      </c>
      <c r="F32" s="39">
        <f>_xlfn.COMPOUNDVALUE(19)</f>
        <v>8735</v>
      </c>
      <c r="G32" s="39">
        <f>_xlfn.COMPOUNDVALUE(20)</f>
        <v>7879.000000000001</v>
      </c>
    </row>
    <row r="33" spans="1:7" ht="15">
      <c r="A33" s="22" t="str">
        <f>_xlfn.COMPOUNDVALUE(21)</f>
        <v>30-34 ans</v>
      </c>
      <c r="B33" s="75">
        <v>12241</v>
      </c>
      <c r="C33" s="75">
        <v>11541</v>
      </c>
      <c r="D33" s="39">
        <v>10325</v>
      </c>
      <c r="E33" s="39">
        <v>9984</v>
      </c>
      <c r="F33" s="39">
        <f>_xlfn.COMPOUNDVALUE(22)</f>
        <v>7684</v>
      </c>
      <c r="G33" s="39">
        <f>_xlfn.COMPOUNDVALUE(23)</f>
        <v>6876</v>
      </c>
    </row>
    <row r="34" spans="1:7" ht="15">
      <c r="A34" s="22" t="str">
        <f>_xlfn.COMPOUNDVALUE(24)</f>
        <v>35-39 ans</v>
      </c>
      <c r="B34" s="75">
        <v>13507</v>
      </c>
      <c r="C34" s="75">
        <v>12655</v>
      </c>
      <c r="D34" s="39">
        <v>10946</v>
      </c>
      <c r="E34" s="39">
        <v>10158</v>
      </c>
      <c r="F34" s="39">
        <f>_xlfn.COMPOUNDVALUE(25)</f>
        <v>6175</v>
      </c>
      <c r="G34" s="39">
        <f>_xlfn.COMPOUNDVALUE(26)</f>
        <v>5524</v>
      </c>
    </row>
    <row r="35" spans="1:7" ht="15">
      <c r="A35" s="22" t="str">
        <f>_xlfn.COMPOUNDVALUE(27)</f>
        <v>40-44 ans</v>
      </c>
      <c r="B35" s="75">
        <v>11312</v>
      </c>
      <c r="C35" s="75">
        <v>11503</v>
      </c>
      <c r="D35" s="39">
        <v>10338</v>
      </c>
      <c r="E35" s="39">
        <v>9648</v>
      </c>
      <c r="F35" s="39">
        <f>_xlfn.COMPOUNDVALUE(28)</f>
        <v>5249</v>
      </c>
      <c r="G35" s="39">
        <f>_xlfn.COMPOUNDVALUE(29)</f>
        <v>4432</v>
      </c>
    </row>
    <row r="36" spans="1:7" ht="15">
      <c r="A36" s="22" t="str">
        <f>_xlfn.COMPOUNDVALUE(30)</f>
        <v>45-49 ans</v>
      </c>
      <c r="B36" s="75">
        <v>9601</v>
      </c>
      <c r="C36" s="75">
        <v>9259</v>
      </c>
      <c r="D36" s="39">
        <v>8341</v>
      </c>
      <c r="E36" s="39">
        <v>7612</v>
      </c>
      <c r="F36" s="39">
        <f>_xlfn.COMPOUNDVALUE(31)</f>
        <v>4440</v>
      </c>
      <c r="G36" s="39">
        <f>_xlfn.COMPOUNDVALUE(32)</f>
        <v>3766.0000000000005</v>
      </c>
    </row>
    <row r="37" spans="1:7" ht="15">
      <c r="A37" s="22" t="str">
        <f>_xlfn.COMPOUNDVALUE(33)</f>
        <v>50-54 ans</v>
      </c>
      <c r="B37" s="75">
        <v>9991</v>
      </c>
      <c r="C37" s="75">
        <v>9773</v>
      </c>
      <c r="D37" s="39">
        <v>7173</v>
      </c>
      <c r="E37" s="39">
        <v>6454</v>
      </c>
      <c r="F37" s="39">
        <f>_xlfn.COMPOUNDVALUE(34)</f>
        <v>3598</v>
      </c>
      <c r="G37" s="39">
        <f>_xlfn.COMPOUNDVALUE(35)</f>
        <v>3062</v>
      </c>
    </row>
    <row r="38" spans="1:7" ht="15">
      <c r="A38" s="22" t="str">
        <f>_xlfn.COMPOUNDVALUE(36)</f>
        <v>55-59 ans</v>
      </c>
      <c r="B38" s="75">
        <v>10303</v>
      </c>
      <c r="C38" s="75">
        <v>9783</v>
      </c>
      <c r="D38" s="39">
        <v>5109</v>
      </c>
      <c r="E38" s="39">
        <v>4799</v>
      </c>
      <c r="F38" s="39">
        <f>_xlfn.COMPOUNDVALUE(37)</f>
        <v>2812</v>
      </c>
      <c r="G38" s="39">
        <f>_xlfn.COMPOUNDVALUE(38)</f>
        <v>2401</v>
      </c>
    </row>
    <row r="39" spans="1:7" ht="15">
      <c r="A39" s="22" t="str">
        <f>_xlfn.COMPOUNDVALUE(39)</f>
        <v>60-64 ans</v>
      </c>
      <c r="B39" s="75">
        <v>9256</v>
      </c>
      <c r="C39" s="75">
        <v>9052</v>
      </c>
      <c r="D39" s="39">
        <v>4040</v>
      </c>
      <c r="E39" s="39">
        <v>3700</v>
      </c>
      <c r="F39" s="39">
        <f>_xlfn.COMPOUNDVALUE(40)</f>
        <v>1992</v>
      </c>
      <c r="G39" s="39">
        <f>_xlfn.COMPOUNDVALUE(41)</f>
        <v>1829.9999999999998</v>
      </c>
    </row>
    <row r="40" spans="1:7" ht="15">
      <c r="A40" s="22" t="str">
        <f>_xlfn.COMPOUNDVALUE(42)</f>
        <v>65-69 ans</v>
      </c>
      <c r="B40" s="75">
        <v>6826</v>
      </c>
      <c r="C40" s="75">
        <v>6819</v>
      </c>
      <c r="D40" s="39">
        <v>3055</v>
      </c>
      <c r="E40" s="39">
        <v>2868</v>
      </c>
      <c r="F40" s="39">
        <f>_xlfn.COMPOUNDVALUE(43)</f>
        <v>1201</v>
      </c>
      <c r="G40" s="39">
        <f>_xlfn.COMPOUNDVALUE(44)</f>
        <v>1205</v>
      </c>
    </row>
    <row r="41" spans="1:7" ht="15">
      <c r="A41" s="22" t="str">
        <f>_xlfn.COMPOUNDVALUE(45)</f>
        <v>70-74 ans</v>
      </c>
      <c r="B41" s="75">
        <v>5071</v>
      </c>
      <c r="C41" s="75">
        <v>5278</v>
      </c>
      <c r="D41" s="39">
        <v>2060</v>
      </c>
      <c r="E41" s="39">
        <v>2076</v>
      </c>
      <c r="F41" s="39">
        <f>_xlfn.COMPOUNDVALUE(46)</f>
        <v>834</v>
      </c>
      <c r="G41" s="39">
        <f>_xlfn.COMPOUNDVALUE(47)</f>
        <v>926</v>
      </c>
    </row>
    <row r="42" spans="1:7" ht="15">
      <c r="A42" s="22" t="str">
        <f>_xlfn.COMPOUNDVALUE(48)</f>
        <v>75-79 ans</v>
      </c>
      <c r="B42" s="75">
        <v>2938</v>
      </c>
      <c r="C42" s="75">
        <v>3496</v>
      </c>
      <c r="D42" s="39">
        <v>1179</v>
      </c>
      <c r="E42" s="39">
        <v>1343</v>
      </c>
      <c r="F42" s="39">
        <f>_xlfn.COMPOUNDVALUE(49)</f>
        <v>534</v>
      </c>
      <c r="G42" s="39">
        <f>_xlfn.COMPOUNDVALUE(50)</f>
        <v>580</v>
      </c>
    </row>
    <row r="43" spans="1:7" ht="15">
      <c r="A43" s="22" t="str">
        <f>_xlfn.COMPOUNDVALUE(51)</f>
        <v>80 ans et plus</v>
      </c>
      <c r="B43" s="75">
        <v>2559</v>
      </c>
      <c r="C43" s="75">
        <v>3582</v>
      </c>
      <c r="D43" s="39">
        <v>816</v>
      </c>
      <c r="E43" s="39">
        <v>1253</v>
      </c>
      <c r="F43" s="39">
        <f>_xlfn.COMPOUNDVALUE(52)</f>
        <v>290</v>
      </c>
      <c r="G43" s="39">
        <f>_xlfn.COMPOUNDVALUE(53)</f>
        <v>452</v>
      </c>
    </row>
    <row r="44" spans="1:7" ht="15">
      <c r="A44" s="122" t="str">
        <f>_xlfn.COMPOUNDVALUE(54)</f>
        <v>Total général par sexe</v>
      </c>
      <c r="B44" s="75">
        <v>162479</v>
      </c>
      <c r="C44" s="75">
        <v>158124</v>
      </c>
      <c r="D44" s="40">
        <v>133626</v>
      </c>
      <c r="E44" s="40">
        <v>127114</v>
      </c>
      <c r="F44" s="40">
        <v>98345</v>
      </c>
      <c r="G44" s="40">
        <v>90469</v>
      </c>
    </row>
    <row r="45" spans="1:7" ht="15">
      <c r="A45" s="76" t="s">
        <v>41</v>
      </c>
      <c r="B45" s="236">
        <v>320603</v>
      </c>
      <c r="C45" s="237"/>
      <c r="D45" s="238">
        <v>-6512</v>
      </c>
      <c r="E45" s="239">
        <f>_xlfn.COMPOUNDVALUE(55)</f>
        <v>90469</v>
      </c>
      <c r="F45" s="238">
        <v>-7876</v>
      </c>
      <c r="G45" s="239">
        <f>_xlfn.COMPOUNDVALUE(55)</f>
        <v>90469</v>
      </c>
    </row>
    <row r="46" ht="15">
      <c r="I46" s="69"/>
    </row>
    <row r="47" ht="28.5">
      <c r="A47" s="19" t="s">
        <v>86</v>
      </c>
    </row>
    <row r="48" spans="1:7" ht="15">
      <c r="A48" s="21"/>
      <c r="B48" s="235">
        <v>2027</v>
      </c>
      <c r="C48" s="235"/>
      <c r="D48" s="235">
        <v>2007</v>
      </c>
      <c r="E48" s="235"/>
      <c r="F48" s="235">
        <v>1988</v>
      </c>
      <c r="G48" s="235"/>
    </row>
    <row r="49" spans="1:7" ht="15">
      <c r="A49" s="21" t="s">
        <v>21</v>
      </c>
      <c r="B49" s="21" t="str">
        <f>_xlfn.COMPOUNDVALUE(1)</f>
        <v>Hommes</v>
      </c>
      <c r="C49" s="21" t="str">
        <f>_xlfn.COMPOUNDVALUE(2)</f>
        <v>Femmes</v>
      </c>
      <c r="D49" s="21" t="str">
        <f>_xlfn.COMPOUNDVALUE(1)</f>
        <v>Hommes</v>
      </c>
      <c r="E49" s="21" t="str">
        <f>_xlfn.COMPOUNDVALUE(2)</f>
        <v>Femmes</v>
      </c>
      <c r="F49" s="21" t="str">
        <f>_xlfn.COMPOUNDVALUE(1)</f>
        <v>Hommes</v>
      </c>
      <c r="G49" s="21" t="str">
        <f>_xlfn.COMPOUNDVALUE(2)</f>
        <v>Femmes</v>
      </c>
    </row>
    <row r="50" spans="1:7" ht="15">
      <c r="A50" s="22" t="str">
        <f>_xlfn.COMPOUNDVALUE(3)</f>
        <v>Moins de 5 ans</v>
      </c>
      <c r="B50" s="23">
        <f>_xlfn.COMPOUNDVALUE(4)</f>
        <v>0</v>
      </c>
      <c r="C50" s="23">
        <f>_xlfn.COMPOUNDVALUE(5)</f>
        <v>0</v>
      </c>
      <c r="D50" s="23">
        <f>_xlfn.COMPOUNDVALUE(4)</f>
        <v>0</v>
      </c>
      <c r="E50" s="23">
        <f>_xlfn.COMPOUNDVALUE(5)</f>
        <v>0</v>
      </c>
      <c r="F50" s="23">
        <f>_xlfn.COMPOUNDVALUE(4)</f>
        <v>0</v>
      </c>
      <c r="G50" s="23">
        <f>_xlfn.COMPOUNDVALUE(5)</f>
        <v>0</v>
      </c>
    </row>
    <row r="51" spans="1:7" ht="15">
      <c r="A51" s="22" t="str">
        <f>_xlfn.COMPOUNDVALUE(6)</f>
        <v>5-9 ans</v>
      </c>
      <c r="B51" s="23">
        <f>_xlfn.COMPOUNDVALUE(7)</f>
        <v>0</v>
      </c>
      <c r="C51" s="23">
        <f>_xlfn.COMPOUNDVALUE(8)</f>
        <v>0</v>
      </c>
      <c r="D51" s="23">
        <f>_xlfn.COMPOUNDVALUE(7)</f>
        <v>0</v>
      </c>
      <c r="E51" s="23">
        <f>_xlfn.COMPOUNDVALUE(8)</f>
        <v>0</v>
      </c>
      <c r="F51" s="23">
        <f>_xlfn.COMPOUNDVALUE(7)</f>
        <v>0</v>
      </c>
      <c r="G51" s="23">
        <f>_xlfn.COMPOUNDVALUE(8)</f>
        <v>0</v>
      </c>
    </row>
    <row r="52" spans="1:7" ht="15">
      <c r="A52" s="22" t="str">
        <f>_xlfn.COMPOUNDVALUE(9)</f>
        <v>10-14 ans</v>
      </c>
      <c r="B52" s="23">
        <f>_xlfn.COMPOUNDVALUE(10)</f>
        <v>0</v>
      </c>
      <c r="C52" s="23">
        <f>_xlfn.COMPOUNDVALUE(11)</f>
        <v>0</v>
      </c>
      <c r="D52" s="23">
        <f>_xlfn.COMPOUNDVALUE(10)</f>
        <v>0</v>
      </c>
      <c r="E52" s="23">
        <f>_xlfn.COMPOUNDVALUE(11)</f>
        <v>0</v>
      </c>
      <c r="F52" s="23">
        <f>_xlfn.COMPOUNDVALUE(10)</f>
        <v>0</v>
      </c>
      <c r="G52" s="23">
        <f>_xlfn.COMPOUNDVALUE(11)</f>
        <v>0</v>
      </c>
    </row>
    <row r="53" spans="1:7" ht="15">
      <c r="A53" s="22" t="str">
        <f>_xlfn.COMPOUNDVALUE(12)</f>
        <v>15-19 ans</v>
      </c>
      <c r="B53" s="23">
        <v>2176.5549597855224</v>
      </c>
      <c r="C53" s="23">
        <v>1073.4213628861116</v>
      </c>
      <c r="D53" s="23">
        <v>2581.5791629431037</v>
      </c>
      <c r="E53" s="23">
        <v>1258.514501296864</v>
      </c>
      <c r="F53" s="23">
        <v>2532</v>
      </c>
      <c r="G53" s="23">
        <v>964</v>
      </c>
    </row>
    <row r="54" spans="1:7" ht="15">
      <c r="A54" s="22" t="str">
        <f>_xlfn.COMPOUNDVALUE(15)</f>
        <v>20-24 ans</v>
      </c>
      <c r="B54" s="23">
        <v>8023.793473480518</v>
      </c>
      <c r="C54" s="23">
        <v>5632.185575292333</v>
      </c>
      <c r="D54" s="23">
        <v>8242.015304776147</v>
      </c>
      <c r="E54" s="23">
        <v>6196.74194412211</v>
      </c>
      <c r="F54" s="23">
        <v>6098</v>
      </c>
      <c r="G54" s="23">
        <v>3685</v>
      </c>
    </row>
    <row r="55" spans="1:7" ht="15">
      <c r="A55" s="22" t="str">
        <f>_xlfn.COMPOUNDVALUE(18)</f>
        <v>25-29 ans</v>
      </c>
      <c r="B55" s="23">
        <v>10099.484109962956</v>
      </c>
      <c r="C55" s="23">
        <v>7775.304226196422</v>
      </c>
      <c r="D55" s="23">
        <v>8344.2763696627</v>
      </c>
      <c r="E55" s="23">
        <v>6383.912478769107</v>
      </c>
      <c r="F55" s="23">
        <v>7092</v>
      </c>
      <c r="G55" s="23">
        <v>4061</v>
      </c>
    </row>
    <row r="56" spans="1:7" ht="15">
      <c r="A56" s="22" t="str">
        <f>_xlfn.COMPOUNDVALUE(21)</f>
        <v>30-34 ans</v>
      </c>
      <c r="B56" s="23">
        <v>10738.992999513855</v>
      </c>
      <c r="C56" s="23">
        <v>7959.918049475719</v>
      </c>
      <c r="D56" s="23">
        <v>9058.091881380651</v>
      </c>
      <c r="E56" s="23">
        <v>6886.042960399063</v>
      </c>
      <c r="F56" s="23">
        <v>6685</v>
      </c>
      <c r="G56" s="23">
        <v>3768</v>
      </c>
    </row>
    <row r="57" spans="1:7" ht="15">
      <c r="A57" s="22" t="str">
        <f>_xlfn.COMPOUNDVALUE(24)</f>
        <v>35-39 ans</v>
      </c>
      <c r="B57" s="23">
        <v>11823.627592592593</v>
      </c>
      <c r="C57" s="23">
        <v>8472.09733201581</v>
      </c>
      <c r="D57" s="23">
        <v>9581.804074074074</v>
      </c>
      <c r="E57" s="23">
        <v>6800.439723320157</v>
      </c>
      <c r="F57" s="23">
        <v>5433</v>
      </c>
      <c r="G57" s="23">
        <v>3120</v>
      </c>
    </row>
    <row r="58" spans="1:7" ht="15">
      <c r="A58" s="22" t="str">
        <f>_xlfn.COMPOUNDVALUE(27)</f>
        <v>40-44 ans</v>
      </c>
      <c r="B58" s="23">
        <v>9872.091517207951</v>
      </c>
      <c r="C58" s="23">
        <v>7526.832392894463</v>
      </c>
      <c r="D58" s="23">
        <v>9022.072321861368</v>
      </c>
      <c r="E58" s="23">
        <v>6313.038244514107</v>
      </c>
      <c r="F58" s="23">
        <v>4576</v>
      </c>
      <c r="G58" s="23">
        <v>2450</v>
      </c>
    </row>
    <row r="59" spans="1:7" ht="15">
      <c r="A59" s="22" t="str">
        <f>_xlfn.COMPOUNDVALUE(30)</f>
        <v>45-49 ans</v>
      </c>
      <c r="B59" s="23">
        <v>8215.347737853646</v>
      </c>
      <c r="C59" s="23">
        <v>5598.324122577265</v>
      </c>
      <c r="D59" s="23">
        <v>7137.19565476901</v>
      </c>
      <c r="E59" s="23">
        <v>4602.4887375589315</v>
      </c>
      <c r="F59" s="23">
        <v>3686</v>
      </c>
      <c r="G59" s="23">
        <v>1839</v>
      </c>
    </row>
    <row r="60" spans="1:7" ht="15">
      <c r="A60" s="22" t="str">
        <f>_xlfn.COMPOUNDVALUE(33)</f>
        <v>50-54 ans</v>
      </c>
      <c r="B60" s="23">
        <v>7280.091048308506</v>
      </c>
      <c r="C60" s="23">
        <v>4978.2158461538465</v>
      </c>
      <c r="D60" s="23">
        <v>5226.713350967561</v>
      </c>
      <c r="E60" s="23">
        <v>3287.5683076923083</v>
      </c>
      <c r="F60" s="23">
        <v>2774</v>
      </c>
      <c r="G60" s="23">
        <v>1252</v>
      </c>
    </row>
    <row r="61" spans="1:7" ht="15">
      <c r="A61" s="22" t="str">
        <f>_xlfn.COMPOUNDVALUE(36)</f>
        <v>55-59 ans</v>
      </c>
      <c r="B61" s="23">
        <v>5406.365796649787</v>
      </c>
      <c r="C61" s="23">
        <v>3256.230463852904</v>
      </c>
      <c r="D61" s="23">
        <v>2680.881573821582</v>
      </c>
      <c r="E61" s="23">
        <v>1597.3269954032594</v>
      </c>
      <c r="F61" s="23">
        <v>1709</v>
      </c>
      <c r="G61" s="23">
        <v>749</v>
      </c>
    </row>
    <row r="62" spans="1:7" ht="15">
      <c r="A62" s="22" t="str">
        <f>_xlfn.COMPOUNDVALUE(39)</f>
        <v>60-64 ans</v>
      </c>
      <c r="B62" s="23">
        <v>2314</v>
      </c>
      <c r="C62" s="23">
        <v>1347.6563500533616</v>
      </c>
      <c r="D62" s="23">
        <v>1010</v>
      </c>
      <c r="E62" s="23">
        <v>550.8537886872998</v>
      </c>
      <c r="F62" s="23">
        <v>621</v>
      </c>
      <c r="G62" s="23">
        <v>266</v>
      </c>
    </row>
    <row r="63" spans="1:7" ht="15">
      <c r="A63" s="22" t="str">
        <f>_xlfn.COMPOUNDVALUE(42)</f>
        <v>65-69 ans</v>
      </c>
      <c r="B63" s="23">
        <v>821.8969816272967</v>
      </c>
      <c r="C63" s="23">
        <v>435.1035564853557</v>
      </c>
      <c r="D63" s="23">
        <v>367.8428477690289</v>
      </c>
      <c r="E63" s="23">
        <v>183</v>
      </c>
      <c r="F63" s="23">
        <v>188</v>
      </c>
      <c r="G63" s="23">
        <v>99</v>
      </c>
    </row>
    <row r="64" spans="1:7" ht="15">
      <c r="A64" s="22" t="str">
        <f>_xlfn.COMPOUNDVALUE(45)</f>
        <v>70-74 ans</v>
      </c>
      <c r="B64" s="23">
        <v>352.5166744950682</v>
      </c>
      <c r="C64" s="23">
        <v>150.7282246549262</v>
      </c>
      <c r="D64" s="23">
        <v>143.20338186942226</v>
      </c>
      <c r="E64" s="23">
        <v>59.286054259876245</v>
      </c>
      <c r="F64" s="23">
        <v>90</v>
      </c>
      <c r="G64" s="23">
        <v>34</v>
      </c>
    </row>
    <row r="65" spans="1:7" ht="15">
      <c r="A65" s="22" t="str">
        <f>_xlfn.COMPOUNDVALUE(48)</f>
        <v>75-79 ans</v>
      </c>
      <c r="B65" s="23">
        <v>168.6321746160065</v>
      </c>
      <c r="C65" s="23">
        <v>63.425253991291726</v>
      </c>
      <c r="D65" s="23">
        <v>67.6709781729992</v>
      </c>
      <c r="E65" s="23">
        <v>24.365021770682148</v>
      </c>
      <c r="F65" s="23">
        <v>28</v>
      </c>
      <c r="G65" s="23">
        <v>15</v>
      </c>
    </row>
    <row r="66" spans="1:7" ht="15">
      <c r="A66" s="22" t="str">
        <f>_xlfn.COMPOUNDVALUE(51)</f>
        <v>80 ans et plus</v>
      </c>
      <c r="B66" s="23">
        <v>47.214022140221395</v>
      </c>
      <c r="C66" s="23">
        <v>34.0332541567696</v>
      </c>
      <c r="D66" s="23">
        <v>15.055350553505534</v>
      </c>
      <c r="E66" s="23">
        <v>11.904988123515441</v>
      </c>
      <c r="F66" s="23">
        <v>11</v>
      </c>
      <c r="G66" s="23">
        <v>10</v>
      </c>
    </row>
    <row r="67" spans="1:9" ht="15">
      <c r="A67" s="122" t="str">
        <f>_xlfn.COMPOUNDVALUE(54)</f>
        <v>Total général par sexe</v>
      </c>
      <c r="B67" s="24">
        <v>77340.60908823393</v>
      </c>
      <c r="C67" s="24">
        <v>54303.47601068659</v>
      </c>
      <c r="D67" s="24">
        <v>63478.40225262116</v>
      </c>
      <c r="E67" s="24">
        <v>44155.483745917285</v>
      </c>
      <c r="F67" s="24">
        <v>41523</v>
      </c>
      <c r="G67" s="24">
        <v>22312</v>
      </c>
      <c r="H67" s="68"/>
      <c r="I67" s="68"/>
    </row>
    <row r="68" spans="1:9" ht="15">
      <c r="A68" s="76" t="s">
        <v>41</v>
      </c>
      <c r="B68" s="238">
        <v>131644.0850989205</v>
      </c>
      <c r="C68" s="239">
        <f>_xlfn.COMPOUNDVALUE(55)</f>
        <v>90469</v>
      </c>
      <c r="D68" s="238">
        <v>107633.88599853845</v>
      </c>
      <c r="E68" s="239">
        <f>_xlfn.COMPOUNDVALUE(55)</f>
        <v>90469</v>
      </c>
      <c r="F68" s="238">
        <v>63835</v>
      </c>
      <c r="G68" s="239">
        <f>_xlfn.COMPOUNDVALUE(55)</f>
        <v>90469</v>
      </c>
      <c r="I68" s="69"/>
    </row>
    <row r="71" ht="28.5">
      <c r="A71" s="19" t="s">
        <v>85</v>
      </c>
    </row>
    <row r="72" spans="1:7" s="41" customFormat="1" ht="18.75" customHeight="1">
      <c r="A72" s="21"/>
      <c r="B72" s="235">
        <v>2027</v>
      </c>
      <c r="C72" s="235"/>
      <c r="D72" s="235">
        <v>2007</v>
      </c>
      <c r="E72" s="235"/>
      <c r="F72" s="235">
        <v>1988</v>
      </c>
      <c r="G72" s="235"/>
    </row>
    <row r="73" spans="1:7" s="44" customFormat="1" ht="34.5" customHeight="1">
      <c r="A73" s="21"/>
      <c r="B73" s="21" t="s">
        <v>68</v>
      </c>
      <c r="C73" s="21" t="s">
        <v>69</v>
      </c>
      <c r="D73" s="21" t="str">
        <f>B73</f>
        <v>Pop. de 15 ans et +</v>
      </c>
      <c r="E73" s="21" t="str">
        <f>C73</f>
        <v>Pop. active</v>
      </c>
      <c r="F73" s="21" t="str">
        <f>D73</f>
        <v>Pop. de 15 ans et +</v>
      </c>
      <c r="G73" s="21" t="str">
        <f>E73</f>
        <v>Pop. active</v>
      </c>
    </row>
    <row r="74" spans="1:7" s="41" customFormat="1" ht="18.75" customHeight="1">
      <c r="A74" s="45" t="str">
        <f>_xlfn.COMPOUNDVALUE(3)</f>
        <v>Moins de 5 ans</v>
      </c>
      <c r="B74" s="46">
        <f>_xlfn.COMPOUNDVALUE(4)</f>
        <v>0</v>
      </c>
      <c r="C74" s="46">
        <f>_xlfn.COMPOUNDVALUE(5)</f>
        <v>0</v>
      </c>
      <c r="D74" s="46">
        <f>_xlfn.COMPOUNDVALUE(4)</f>
        <v>0</v>
      </c>
      <c r="E74" s="46">
        <f>_xlfn.COMPOUNDVALUE(5)</f>
        <v>0</v>
      </c>
      <c r="F74" s="46">
        <f>_xlfn.COMPOUNDVALUE(4)</f>
        <v>0</v>
      </c>
      <c r="G74" s="46">
        <f>_xlfn.COMPOUNDVALUE(5)</f>
        <v>0</v>
      </c>
    </row>
    <row r="75" spans="1:7" s="41" customFormat="1" ht="18.75" customHeight="1">
      <c r="A75" s="45" t="str">
        <f>_xlfn.COMPOUNDVALUE(6)</f>
        <v>5-9 ans</v>
      </c>
      <c r="B75" s="46">
        <f>_xlfn.COMPOUNDVALUE(7)</f>
        <v>0</v>
      </c>
      <c r="C75" s="46">
        <f>_xlfn.COMPOUNDVALUE(8)</f>
        <v>0</v>
      </c>
      <c r="D75" s="46">
        <f>_xlfn.COMPOUNDVALUE(7)</f>
        <v>0</v>
      </c>
      <c r="E75" s="46">
        <f>_xlfn.COMPOUNDVALUE(8)</f>
        <v>0</v>
      </c>
      <c r="F75" s="46">
        <f>_xlfn.COMPOUNDVALUE(7)</f>
        <v>0</v>
      </c>
      <c r="G75" s="46">
        <f>_xlfn.COMPOUNDVALUE(8)</f>
        <v>0</v>
      </c>
    </row>
    <row r="76" spans="1:7" s="41" customFormat="1" ht="18.75" customHeight="1">
      <c r="A76" s="45" t="str">
        <f>_xlfn.COMPOUNDVALUE(9)</f>
        <v>10-14 ans</v>
      </c>
      <c r="B76" s="46">
        <f>_xlfn.COMPOUNDVALUE(10)</f>
        <v>0</v>
      </c>
      <c r="C76" s="46">
        <f>_xlfn.COMPOUNDVALUE(11)</f>
        <v>0</v>
      </c>
      <c r="D76" s="46">
        <f>_xlfn.COMPOUNDVALUE(10)</f>
        <v>0</v>
      </c>
      <c r="E76" s="46">
        <f>_xlfn.COMPOUNDVALUE(11)</f>
        <v>0</v>
      </c>
      <c r="F76" s="46">
        <f>_xlfn.COMPOUNDVALUE(10)</f>
        <v>0</v>
      </c>
      <c r="G76" s="46">
        <f>_xlfn.COMPOUNDVALUE(11)</f>
        <v>0</v>
      </c>
    </row>
    <row r="77" spans="1:7" s="41" customFormat="1" ht="18.75" customHeight="1">
      <c r="A77" s="45" t="str">
        <f>_xlfn.COMPOUNDVALUE(12)</f>
        <v>15-19 ans</v>
      </c>
      <c r="B77" s="46">
        <v>22323</v>
      </c>
      <c r="C77" s="46">
        <v>3249.976322671634</v>
      </c>
      <c r="D77" s="46">
        <v>26329</v>
      </c>
      <c r="E77" s="46">
        <v>3840.0936642399674</v>
      </c>
      <c r="F77" s="46">
        <f>_xlfn.COMPOUNDVALUE(13)</f>
        <v>20418</v>
      </c>
      <c r="G77" s="46">
        <v>3496</v>
      </c>
    </row>
    <row r="78" spans="1:7" s="41" customFormat="1" ht="18.75" customHeight="1">
      <c r="A78" s="45" t="str">
        <f>_xlfn.COMPOUNDVALUE(15)</f>
        <v>20-24 ans</v>
      </c>
      <c r="B78" s="46">
        <v>21666</v>
      </c>
      <c r="C78" s="46">
        <v>13655.97904877285</v>
      </c>
      <c r="D78" s="46">
        <v>23024</v>
      </c>
      <c r="E78" s="46">
        <v>14438.757248898257</v>
      </c>
      <c r="F78" s="46">
        <f>_xlfn.COMPOUNDVALUE(16)</f>
        <v>19309</v>
      </c>
      <c r="G78" s="46">
        <v>9783</v>
      </c>
    </row>
    <row r="79" spans="1:7" s="41" customFormat="1" ht="18.75" customHeight="1">
      <c r="A79" s="45" t="str">
        <f>_xlfn.COMPOUNDVALUE(18)</f>
        <v>25-29 ans</v>
      </c>
      <c r="B79" s="46">
        <v>23247</v>
      </c>
      <c r="C79" s="46">
        <v>17874.788336159378</v>
      </c>
      <c r="D79" s="46">
        <v>19148</v>
      </c>
      <c r="E79" s="46">
        <v>14728.188848431808</v>
      </c>
      <c r="F79" s="46">
        <f>_xlfn.COMPOUNDVALUE(19)</f>
        <v>16614</v>
      </c>
      <c r="G79" s="46">
        <v>11153</v>
      </c>
    </row>
    <row r="80" spans="1:7" s="41" customFormat="1" ht="18.75" customHeight="1">
      <c r="A80" s="45" t="str">
        <f>_xlfn.COMPOUNDVALUE(21)</f>
        <v>30-34 ans</v>
      </c>
      <c r="B80" s="46">
        <v>23782</v>
      </c>
      <c r="C80" s="46">
        <v>18698.911048989576</v>
      </c>
      <c r="D80" s="46">
        <v>20309</v>
      </c>
      <c r="E80" s="46">
        <v>15944.134841779714</v>
      </c>
      <c r="F80" s="46">
        <f>_xlfn.COMPOUNDVALUE(22)</f>
        <v>14560</v>
      </c>
      <c r="G80" s="46">
        <v>10453</v>
      </c>
    </row>
    <row r="81" spans="1:7" s="41" customFormat="1" ht="18.75" customHeight="1">
      <c r="A81" s="45" t="str">
        <f>_xlfn.COMPOUNDVALUE(24)</f>
        <v>35-39 ans</v>
      </c>
      <c r="B81" s="46">
        <v>26162</v>
      </c>
      <c r="C81" s="46">
        <v>20295.724924608403</v>
      </c>
      <c r="D81" s="46">
        <v>21104</v>
      </c>
      <c r="E81" s="46">
        <v>16382.243797394232</v>
      </c>
      <c r="F81" s="46">
        <f>_xlfn.COMPOUNDVALUE(25)</f>
        <v>11699</v>
      </c>
      <c r="G81" s="46">
        <v>8553</v>
      </c>
    </row>
    <row r="82" spans="1:9" s="41" customFormat="1" ht="18.75" customHeight="1">
      <c r="A82" s="45" t="str">
        <f>_xlfn.COMPOUNDVALUE(27)</f>
        <v>40-44 ans</v>
      </c>
      <c r="B82" s="46">
        <v>22815</v>
      </c>
      <c r="C82" s="46">
        <v>17398.923910102414</v>
      </c>
      <c r="D82" s="46">
        <v>19986</v>
      </c>
      <c r="E82" s="46">
        <v>15335.110566375475</v>
      </c>
      <c r="F82" s="46">
        <v>9681</v>
      </c>
      <c r="G82" s="46">
        <v>7026</v>
      </c>
      <c r="I82" s="51"/>
    </row>
    <row r="83" spans="1:9" s="41" customFormat="1" ht="18.75" customHeight="1">
      <c r="A83" s="45" t="str">
        <f>_xlfn.COMPOUNDVALUE(30)</f>
        <v>45-49 ans</v>
      </c>
      <c r="B83" s="46">
        <v>18860</v>
      </c>
      <c r="C83" s="46">
        <v>13813.671860430912</v>
      </c>
      <c r="D83" s="46">
        <v>15953</v>
      </c>
      <c r="E83" s="46">
        <v>11739.684392327941</v>
      </c>
      <c r="F83" s="46">
        <f>_xlfn.COMPOUNDVALUE(31)</f>
        <v>8206</v>
      </c>
      <c r="G83" s="46">
        <v>5525</v>
      </c>
      <c r="I83" s="51"/>
    </row>
    <row r="84" spans="1:7" s="41" customFormat="1" ht="18.75" customHeight="1">
      <c r="A84" s="45" t="str">
        <f>_xlfn.COMPOUNDVALUE(33)</f>
        <v>50-54 ans</v>
      </c>
      <c r="B84" s="46">
        <v>19764</v>
      </c>
      <c r="C84" s="46">
        <v>12258.306894462352</v>
      </c>
      <c r="D84" s="46">
        <v>13627</v>
      </c>
      <c r="E84" s="46">
        <v>8514.28165865987</v>
      </c>
      <c r="F84" s="46">
        <f>_xlfn.COMPOUNDVALUE(34)</f>
        <v>6660</v>
      </c>
      <c r="G84" s="46">
        <v>4026</v>
      </c>
    </row>
    <row r="85" spans="1:8" s="41" customFormat="1" ht="18.75" customHeight="1">
      <c r="A85" s="45" t="str">
        <f>_xlfn.COMPOUNDVALUE(36)</f>
        <v>55-59 ans</v>
      </c>
      <c r="B85" s="46">
        <v>20086</v>
      </c>
      <c r="C85" s="46">
        <v>8662.59626050269</v>
      </c>
      <c r="D85" s="46">
        <v>9908</v>
      </c>
      <c r="E85" s="46">
        <v>4278.208569224842</v>
      </c>
      <c r="F85" s="46">
        <f>_xlfn.COMPOUNDVALUE(37)</f>
        <v>5213</v>
      </c>
      <c r="G85" s="46">
        <v>2458</v>
      </c>
      <c r="H85" s="53"/>
    </row>
    <row r="86" spans="1:8" s="41" customFormat="1" ht="18.75" customHeight="1">
      <c r="A86" s="45" t="str">
        <f>_xlfn.COMPOUNDVALUE(39)</f>
        <v>60-64 ans</v>
      </c>
      <c r="B86" s="46">
        <v>18308</v>
      </c>
      <c r="C86" s="46">
        <v>3661.6563500533616</v>
      </c>
      <c r="D86" s="46">
        <v>7740</v>
      </c>
      <c r="E86" s="46">
        <v>1560.8537886872998</v>
      </c>
      <c r="F86" s="46">
        <f>_xlfn.COMPOUNDVALUE(40)</f>
        <v>3822</v>
      </c>
      <c r="G86" s="46">
        <v>887</v>
      </c>
      <c r="H86" s="52"/>
    </row>
    <row r="87" spans="1:7" s="41" customFormat="1" ht="18.75" customHeight="1">
      <c r="A87" s="45" t="str">
        <f>_xlfn.COMPOUNDVALUE(42)</f>
        <v>65-69 ans</v>
      </c>
      <c r="B87" s="46">
        <v>13645</v>
      </c>
      <c r="C87" s="46">
        <v>1257.0005381126523</v>
      </c>
      <c r="D87" s="46">
        <v>5923</v>
      </c>
      <c r="E87" s="46">
        <v>550.8428477690288</v>
      </c>
      <c r="F87" s="46">
        <f>_xlfn.COMPOUNDVALUE(43)</f>
        <v>2406</v>
      </c>
      <c r="G87" s="46">
        <v>287</v>
      </c>
    </row>
    <row r="88" spans="1:7" s="41" customFormat="1" ht="18.75" customHeight="1">
      <c r="A88" s="45" t="str">
        <f>_xlfn.COMPOUNDVALUE(45)</f>
        <v>70-74 ans</v>
      </c>
      <c r="B88" s="46">
        <v>10349</v>
      </c>
      <c r="C88" s="46">
        <v>503.24489914999435</v>
      </c>
      <c r="D88" s="46">
        <v>4136</v>
      </c>
      <c r="E88" s="46">
        <v>202.4894361292985</v>
      </c>
      <c r="F88" s="46">
        <f>_xlfn.COMPOUNDVALUE(46)</f>
        <v>1760</v>
      </c>
      <c r="G88" s="46">
        <v>124</v>
      </c>
    </row>
    <row r="89" spans="1:7" s="41" customFormat="1" ht="18.75" customHeight="1">
      <c r="A89" s="45" t="str">
        <f>_xlfn.COMPOUNDVALUE(48)</f>
        <v>75-79 ans</v>
      </c>
      <c r="B89" s="46">
        <v>6434</v>
      </c>
      <c r="C89" s="46">
        <v>232.05742860729822</v>
      </c>
      <c r="D89" s="46">
        <v>2522</v>
      </c>
      <c r="E89" s="46">
        <v>92.03599994368135</v>
      </c>
      <c r="F89" s="46">
        <f>_xlfn.COMPOUNDVALUE(49)</f>
        <v>1114</v>
      </c>
      <c r="G89" s="46">
        <v>43</v>
      </c>
    </row>
    <row r="90" spans="1:7" s="41" customFormat="1" ht="18.75" customHeight="1">
      <c r="A90" s="45" t="str">
        <f>_xlfn.COMPOUNDVALUE(51)</f>
        <v>80 ans et plus</v>
      </c>
      <c r="B90" s="46">
        <v>6141</v>
      </c>
      <c r="C90" s="46">
        <v>81.247276296991</v>
      </c>
      <c r="D90" s="46">
        <v>2069</v>
      </c>
      <c r="E90" s="46">
        <v>26.960338677020975</v>
      </c>
      <c r="F90" s="46">
        <f>_xlfn.COMPOUNDVALUE(52)</f>
        <v>742</v>
      </c>
      <c r="G90" s="46">
        <v>21</v>
      </c>
    </row>
    <row r="91" spans="1:7" s="41" customFormat="1" ht="18.75" customHeight="1">
      <c r="A91" s="122" t="s">
        <v>41</v>
      </c>
      <c r="B91" s="47">
        <v>253582</v>
      </c>
      <c r="C91" s="47">
        <v>131644.0850989205</v>
      </c>
      <c r="D91" s="47">
        <v>191778</v>
      </c>
      <c r="E91" s="47">
        <v>107633.8859985384</v>
      </c>
      <c r="F91" s="47">
        <v>122204</v>
      </c>
      <c r="G91" s="47">
        <v>63835</v>
      </c>
    </row>
    <row r="92" spans="1:7" s="41" customFormat="1" ht="18.75" customHeight="1">
      <c r="A92" s="49"/>
      <c r="B92" s="42"/>
      <c r="C92" s="50"/>
      <c r="D92" s="42"/>
      <c r="E92" s="50"/>
      <c r="F92" s="42"/>
      <c r="G92" s="42"/>
    </row>
    <row r="93" s="41" customFormat="1" ht="18.75" customHeight="1">
      <c r="C93" s="48"/>
    </row>
    <row r="94" s="41" customFormat="1" ht="18.75" customHeight="1"/>
    <row r="95" spans="2:9" ht="15">
      <c r="B95" s="10"/>
      <c r="C95" s="10"/>
      <c r="H95" s="41"/>
      <c r="I95" s="41"/>
    </row>
    <row r="96" spans="1:23" ht="15">
      <c r="A96" s="36"/>
      <c r="B96" s="36"/>
      <c r="C96" s="36"/>
      <c r="F96" s="36"/>
      <c r="G96" s="36"/>
      <c r="K96" s="36"/>
      <c r="L96" s="36"/>
      <c r="M96" s="36"/>
      <c r="P96" s="36"/>
      <c r="Q96" s="36"/>
      <c r="R96" s="36"/>
      <c r="U96" s="36"/>
      <c r="V96" s="36"/>
      <c r="W96" s="36"/>
    </row>
    <row r="97" spans="1:23" ht="15">
      <c r="A97" s="36"/>
      <c r="B97" s="36"/>
      <c r="C97" s="36"/>
      <c r="F97" s="36"/>
      <c r="G97" s="36"/>
      <c r="K97" s="36"/>
      <c r="L97" s="36"/>
      <c r="M97" s="36"/>
      <c r="P97" s="36"/>
      <c r="Q97" s="36"/>
      <c r="R97" s="36"/>
      <c r="U97" s="36"/>
      <c r="V97" s="36"/>
      <c r="W97" s="36"/>
    </row>
    <row r="98" spans="1:23" ht="15">
      <c r="A98" s="36"/>
      <c r="B98" s="36"/>
      <c r="C98" s="36"/>
      <c r="F98" s="36"/>
      <c r="G98" s="36"/>
      <c r="K98" s="36"/>
      <c r="L98" s="36"/>
      <c r="M98" s="36"/>
      <c r="P98" s="36"/>
      <c r="Q98" s="36"/>
      <c r="R98" s="36"/>
      <c r="U98" s="36"/>
      <c r="V98" s="36"/>
      <c r="W98" s="36"/>
    </row>
    <row r="99" spans="1:23" ht="15">
      <c r="A99" s="36"/>
      <c r="B99" s="36"/>
      <c r="C99" s="36"/>
      <c r="F99" s="36"/>
      <c r="G99" s="36"/>
      <c r="K99" s="36"/>
      <c r="L99" s="36"/>
      <c r="M99" s="36"/>
      <c r="P99" s="36"/>
      <c r="Q99" s="36"/>
      <c r="R99" s="36"/>
      <c r="U99" s="36"/>
      <c r="V99" s="36"/>
      <c r="W99" s="36"/>
    </row>
    <row r="100" spans="1:23" ht="15">
      <c r="A100" s="36"/>
      <c r="B100" s="36"/>
      <c r="C100" s="36"/>
      <c r="F100" s="36"/>
      <c r="G100" s="36"/>
      <c r="K100" s="36"/>
      <c r="L100" s="36"/>
      <c r="M100" s="36"/>
      <c r="P100" s="36"/>
      <c r="Q100" s="36"/>
      <c r="R100" s="36"/>
      <c r="U100" s="36"/>
      <c r="V100" s="36"/>
      <c r="W100" s="36"/>
    </row>
    <row r="101" spans="1:23" ht="15">
      <c r="A101" s="36"/>
      <c r="B101" s="36"/>
      <c r="C101" s="36"/>
      <c r="F101" s="36"/>
      <c r="G101" s="36"/>
      <c r="K101" s="36"/>
      <c r="L101" s="36"/>
      <c r="M101" s="36"/>
      <c r="P101" s="36"/>
      <c r="Q101" s="36"/>
      <c r="R101" s="36"/>
      <c r="U101" s="36"/>
      <c r="V101" s="36"/>
      <c r="W101" s="36"/>
    </row>
    <row r="102" spans="1:23" ht="15">
      <c r="A102" s="36"/>
      <c r="B102" s="36"/>
      <c r="C102" s="36"/>
      <c r="F102" s="36"/>
      <c r="G102" s="36"/>
      <c r="K102" s="36"/>
      <c r="L102" s="36"/>
      <c r="M102" s="36"/>
      <c r="P102" s="36"/>
      <c r="Q102" s="36"/>
      <c r="R102" s="36"/>
      <c r="U102" s="36"/>
      <c r="V102" s="36"/>
      <c r="W102" s="36"/>
    </row>
    <row r="103" spans="1:23" ht="15">
      <c r="A103" s="36"/>
      <c r="B103" s="36"/>
      <c r="C103" s="36"/>
      <c r="F103" s="36"/>
      <c r="G103" s="36"/>
      <c r="K103" s="36"/>
      <c r="L103" s="36"/>
      <c r="M103" s="36"/>
      <c r="P103" s="36"/>
      <c r="Q103" s="36"/>
      <c r="R103" s="36"/>
      <c r="U103" s="36"/>
      <c r="V103" s="36"/>
      <c r="W103" s="36"/>
    </row>
    <row r="107" spans="2:22" ht="15">
      <c r="B107" s="20"/>
      <c r="C107" s="20"/>
      <c r="E107" s="4"/>
      <c r="G107" s="20"/>
      <c r="L107" s="20"/>
      <c r="Q107" s="20"/>
      <c r="V107" s="20"/>
    </row>
    <row r="108" spans="2:22" ht="15">
      <c r="B108" s="20"/>
      <c r="C108" s="20"/>
      <c r="G108" s="20"/>
      <c r="I108" s="4"/>
      <c r="L108" s="20"/>
      <c r="Q108" s="20"/>
      <c r="V108" s="20"/>
    </row>
    <row r="109" spans="2:22" ht="15">
      <c r="B109" s="20"/>
      <c r="C109" s="20"/>
      <c r="E109" s="3"/>
      <c r="G109" s="20"/>
      <c r="J109" s="3"/>
      <c r="L109" s="20"/>
      <c r="O109" s="3"/>
      <c r="Q109" s="20"/>
      <c r="T109" s="3"/>
      <c r="V109" s="20"/>
    </row>
    <row r="110" spans="2:22" ht="15">
      <c r="B110" s="20"/>
      <c r="C110" s="20"/>
      <c r="G110" s="20"/>
      <c r="I110" s="3"/>
      <c r="L110" s="20"/>
      <c r="Q110" s="20"/>
      <c r="V110" s="20"/>
    </row>
    <row r="111" spans="2:22" ht="15">
      <c r="B111" s="20"/>
      <c r="C111" s="20"/>
      <c r="G111" s="20"/>
      <c r="L111" s="20"/>
      <c r="Q111" s="20"/>
      <c r="V111" s="20"/>
    </row>
    <row r="112" spans="2:22" ht="15">
      <c r="B112" s="20"/>
      <c r="C112" s="20"/>
      <c r="G112" s="20"/>
      <c r="L112" s="20"/>
      <c r="Q112" s="20"/>
      <c r="V112" s="20"/>
    </row>
    <row r="113" spans="2:22" ht="15">
      <c r="B113" s="20"/>
      <c r="C113" s="20"/>
      <c r="G113" s="20"/>
      <c r="L113" s="20"/>
      <c r="Q113" s="20"/>
      <c r="V113" s="20"/>
    </row>
    <row r="114" spans="2:22" ht="15">
      <c r="B114" s="20"/>
      <c r="C114" s="20"/>
      <c r="G114" s="20"/>
      <c r="L114" s="20"/>
      <c r="Q114" s="20"/>
      <c r="V114" s="20"/>
    </row>
    <row r="115" spans="2:22" ht="15">
      <c r="B115" s="20"/>
      <c r="C115" s="20"/>
      <c r="G115" s="20"/>
      <c r="L115" s="20"/>
      <c r="Q115" s="20"/>
      <c r="V115" s="20"/>
    </row>
    <row r="116" spans="2:22" ht="15">
      <c r="B116" s="20"/>
      <c r="C116" s="20"/>
      <c r="G116" s="20"/>
      <c r="L116" s="20"/>
      <c r="Q116" s="20"/>
      <c r="V116" s="20"/>
    </row>
    <row r="117" spans="2:22" ht="15">
      <c r="B117" s="20"/>
      <c r="C117" s="20"/>
      <c r="G117" s="20"/>
      <c r="L117" s="20"/>
      <c r="Q117" s="20"/>
      <c r="V117" s="20"/>
    </row>
    <row r="118" spans="2:22" ht="15">
      <c r="B118" s="20"/>
      <c r="C118" s="20"/>
      <c r="G118" s="20"/>
      <c r="L118" s="20"/>
      <c r="Q118" s="20"/>
      <c r="V118" s="20"/>
    </row>
    <row r="119" spans="2:22" ht="15">
      <c r="B119" s="20"/>
      <c r="C119" s="20"/>
      <c r="G119" s="20"/>
      <c r="L119" s="20"/>
      <c r="Q119" s="20"/>
      <c r="V119" s="20"/>
    </row>
    <row r="120" spans="2:22" ht="15">
      <c r="B120" s="20"/>
      <c r="C120" s="20"/>
      <c r="G120" s="20"/>
      <c r="L120" s="20"/>
      <c r="Q120" s="20"/>
      <c r="V120" s="20"/>
    </row>
    <row r="121" spans="2:22" ht="15">
      <c r="B121" s="20"/>
      <c r="C121" s="20"/>
      <c r="G121" s="20"/>
      <c r="L121" s="20"/>
      <c r="Q121" s="20"/>
      <c r="V121" s="20"/>
    </row>
    <row r="122" spans="2:22" ht="15">
      <c r="B122" s="20"/>
      <c r="C122" s="20"/>
      <c r="G122" s="20"/>
      <c r="L122" s="20"/>
      <c r="Q122" s="20"/>
      <c r="V122" s="20"/>
    </row>
    <row r="123" spans="2:22" ht="15">
      <c r="B123" s="20"/>
      <c r="C123" s="20"/>
      <c r="G123" s="20"/>
      <c r="L123" s="20"/>
      <c r="Q123" s="20"/>
      <c r="V123" s="20"/>
    </row>
    <row r="124" spans="2:22" ht="15">
      <c r="B124" s="20"/>
      <c r="G124" s="20"/>
      <c r="L124" s="20"/>
      <c r="Q124" s="20"/>
      <c r="V124" s="20"/>
    </row>
  </sheetData>
  <sheetProtection/>
  <mergeCells count="15">
    <mergeCell ref="B72:C72"/>
    <mergeCell ref="D72:E72"/>
    <mergeCell ref="F72:G72"/>
    <mergeCell ref="B48:C48"/>
    <mergeCell ref="D48:E48"/>
    <mergeCell ref="F48:G48"/>
    <mergeCell ref="B68:C68"/>
    <mergeCell ref="D68:E68"/>
    <mergeCell ref="F68:G68"/>
    <mergeCell ref="B25:C25"/>
    <mergeCell ref="D25:E25"/>
    <mergeCell ref="F25:G25"/>
    <mergeCell ref="B45:C45"/>
    <mergeCell ref="D45:E45"/>
    <mergeCell ref="F45:G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46"/>
  <sheetViews>
    <sheetView zoomScalePageLayoutView="0" workbookViewId="0" topLeftCell="A1">
      <selection activeCell="A2" sqref="A2:G43"/>
    </sheetView>
  </sheetViews>
  <sheetFormatPr defaultColWidth="11.421875" defaultRowHeight="15"/>
  <cols>
    <col min="1" max="1" width="11.57421875" style="0" customWidth="1"/>
    <col min="4" max="4" width="11.8515625" style="0" customWidth="1"/>
    <col min="5" max="5" width="14.421875" style="0" customWidth="1"/>
    <col min="6" max="6" width="12.421875" style="0" customWidth="1"/>
    <col min="7" max="7" width="12.8515625" style="0" customWidth="1"/>
    <col min="8" max="8" width="15.57421875" style="0" hidden="1" customWidth="1"/>
    <col min="9" max="9" width="10.57421875" style="0" hidden="1" customWidth="1"/>
  </cols>
  <sheetData>
    <row r="1" s="6" customFormat="1" ht="40.5" customHeight="1">
      <c r="A1" s="5" t="s">
        <v>7</v>
      </c>
    </row>
    <row r="2" spans="1:11" s="1" customFormat="1" ht="30">
      <c r="A2" s="84" t="s">
        <v>2</v>
      </c>
      <c r="B2" s="85" t="s">
        <v>3</v>
      </c>
      <c r="C2" s="85" t="s">
        <v>4</v>
      </c>
      <c r="D2" s="85" t="s">
        <v>5</v>
      </c>
      <c r="E2" s="85" t="s">
        <v>16</v>
      </c>
      <c r="F2" s="85" t="s">
        <v>17</v>
      </c>
      <c r="G2" s="149" t="s">
        <v>9</v>
      </c>
      <c r="H2" s="1" t="s">
        <v>0</v>
      </c>
      <c r="I2" s="1" t="s">
        <v>6</v>
      </c>
      <c r="J2" s="6"/>
      <c r="K2" s="6"/>
    </row>
    <row r="3" spans="1:11" ht="15">
      <c r="A3" s="150">
        <v>1987</v>
      </c>
      <c r="B3" s="97">
        <v>65</v>
      </c>
      <c r="C3" s="97">
        <v>70.1</v>
      </c>
      <c r="D3" s="97">
        <v>67.3</v>
      </c>
      <c r="E3" s="97"/>
      <c r="F3" s="97"/>
      <c r="G3" s="151"/>
      <c r="J3" s="6"/>
      <c r="K3" s="6"/>
    </row>
    <row r="4" spans="1:7" ht="15">
      <c r="A4" s="152">
        <v>1988</v>
      </c>
      <c r="B4" s="90">
        <v>66.3</v>
      </c>
      <c r="C4" s="90">
        <v>71.4</v>
      </c>
      <c r="D4" s="90">
        <v>68.7</v>
      </c>
      <c r="E4" s="90"/>
      <c r="F4" s="90"/>
      <c r="G4" s="153"/>
    </row>
    <row r="5" spans="1:7" ht="15">
      <c r="A5" s="150">
        <v>1989</v>
      </c>
      <c r="B5" s="97">
        <v>65.4</v>
      </c>
      <c r="C5" s="97">
        <v>70.5</v>
      </c>
      <c r="D5" s="97">
        <v>67.7</v>
      </c>
      <c r="E5" s="97"/>
      <c r="F5" s="97"/>
      <c r="G5" s="151"/>
    </row>
    <row r="6" spans="1:7" ht="15">
      <c r="A6" s="152">
        <v>1990</v>
      </c>
      <c r="B6" s="90">
        <v>66.9</v>
      </c>
      <c r="C6" s="90">
        <v>72.6</v>
      </c>
      <c r="D6" s="90">
        <v>69.5</v>
      </c>
      <c r="E6" s="90"/>
      <c r="F6" s="90"/>
      <c r="G6" s="153"/>
    </row>
    <row r="7" spans="1:7" ht="15">
      <c r="A7" s="150">
        <v>1991</v>
      </c>
      <c r="B7" s="97">
        <v>67.8</v>
      </c>
      <c r="C7" s="97">
        <v>70.8</v>
      </c>
      <c r="D7" s="97">
        <v>69.3</v>
      </c>
      <c r="E7" s="97"/>
      <c r="F7" s="97"/>
      <c r="G7" s="151"/>
    </row>
    <row r="8" spans="1:7" ht="15">
      <c r="A8" s="152">
        <v>1992</v>
      </c>
      <c r="B8" s="90">
        <v>67.7</v>
      </c>
      <c r="C8" s="90">
        <v>71.1</v>
      </c>
      <c r="D8" s="90">
        <v>69.3</v>
      </c>
      <c r="E8" s="90"/>
      <c r="F8" s="90"/>
      <c r="G8" s="153"/>
    </row>
    <row r="9" spans="1:7" ht="15">
      <c r="A9" s="150">
        <v>1993</v>
      </c>
      <c r="B9" s="97">
        <v>67.3</v>
      </c>
      <c r="C9" s="97">
        <v>72.1</v>
      </c>
      <c r="D9" s="97">
        <v>69.5</v>
      </c>
      <c r="E9" s="97"/>
      <c r="F9" s="97"/>
      <c r="G9" s="151"/>
    </row>
    <row r="10" spans="1:7" ht="15">
      <c r="A10" s="152">
        <v>1994</v>
      </c>
      <c r="B10" s="90">
        <v>68.4</v>
      </c>
      <c r="C10" s="90">
        <v>71.7</v>
      </c>
      <c r="D10" s="90">
        <v>70</v>
      </c>
      <c r="E10" s="90"/>
      <c r="F10" s="90"/>
      <c r="G10" s="153"/>
    </row>
    <row r="11" spans="1:7" ht="15">
      <c r="A11" s="150">
        <v>1995</v>
      </c>
      <c r="B11" s="97">
        <v>67.2</v>
      </c>
      <c r="C11" s="97">
        <v>72.5</v>
      </c>
      <c r="D11" s="97">
        <v>69.6</v>
      </c>
      <c r="E11" s="97"/>
      <c r="F11" s="97"/>
      <c r="G11" s="151"/>
    </row>
    <row r="12" spans="1:7" ht="15">
      <c r="A12" s="152">
        <v>1996</v>
      </c>
      <c r="B12" s="90">
        <v>68.7</v>
      </c>
      <c r="C12" s="90">
        <v>73.7</v>
      </c>
      <c r="D12" s="90">
        <v>71</v>
      </c>
      <c r="E12" s="90"/>
      <c r="F12" s="90"/>
      <c r="G12" s="153"/>
    </row>
    <row r="13" spans="1:7" ht="15">
      <c r="A13" s="150">
        <v>1997</v>
      </c>
      <c r="B13" s="97">
        <v>68.7</v>
      </c>
      <c r="C13" s="97">
        <v>73.8</v>
      </c>
      <c r="D13" s="97">
        <v>71</v>
      </c>
      <c r="E13" s="97"/>
      <c r="F13" s="97"/>
      <c r="G13" s="151"/>
    </row>
    <row r="14" spans="1:7" ht="15">
      <c r="A14" s="152">
        <v>1998</v>
      </c>
      <c r="B14" s="90">
        <v>68.3</v>
      </c>
      <c r="C14" s="90">
        <v>74.6</v>
      </c>
      <c r="D14" s="90">
        <v>71.1</v>
      </c>
      <c r="E14" s="90"/>
      <c r="F14" s="90"/>
      <c r="G14" s="153"/>
    </row>
    <row r="15" spans="1:7" ht="15">
      <c r="A15" s="150">
        <v>1999</v>
      </c>
      <c r="B15" s="97">
        <v>70.4</v>
      </c>
      <c r="C15" s="97">
        <v>75.1</v>
      </c>
      <c r="D15" s="97">
        <v>72.6</v>
      </c>
      <c r="E15" s="97"/>
      <c r="F15" s="97"/>
      <c r="G15" s="151"/>
    </row>
    <row r="16" spans="1:7" ht="15">
      <c r="A16" s="152">
        <v>2000</v>
      </c>
      <c r="B16" s="90">
        <v>70.5</v>
      </c>
      <c r="C16" s="90">
        <v>75.3</v>
      </c>
      <c r="D16" s="90">
        <v>72.8</v>
      </c>
      <c r="E16" s="90"/>
      <c r="F16" s="90"/>
      <c r="G16" s="153"/>
    </row>
    <row r="17" spans="1:7" ht="15">
      <c r="A17" s="150">
        <v>2001</v>
      </c>
      <c r="B17" s="97">
        <v>69.5</v>
      </c>
      <c r="C17" s="97">
        <v>74.9</v>
      </c>
      <c r="D17" s="97">
        <v>72</v>
      </c>
      <c r="E17" s="97"/>
      <c r="F17" s="97"/>
      <c r="G17" s="151"/>
    </row>
    <row r="18" spans="1:7" ht="15">
      <c r="A18" s="152">
        <v>2002</v>
      </c>
      <c r="B18" s="90">
        <v>71.2</v>
      </c>
      <c r="C18" s="90">
        <v>76.1</v>
      </c>
      <c r="D18" s="90">
        <v>73.5</v>
      </c>
      <c r="E18" s="90"/>
      <c r="F18" s="90"/>
      <c r="G18" s="153"/>
    </row>
    <row r="19" spans="1:7" ht="15">
      <c r="A19" s="150">
        <v>2003</v>
      </c>
      <c r="B19" s="97">
        <v>70.8</v>
      </c>
      <c r="C19" s="97">
        <v>76.3</v>
      </c>
      <c r="D19" s="97">
        <v>73.4</v>
      </c>
      <c r="E19" s="97"/>
      <c r="F19" s="97"/>
      <c r="G19" s="151"/>
    </row>
    <row r="20" spans="1:18" ht="15">
      <c r="A20" s="152">
        <v>2004</v>
      </c>
      <c r="B20" s="90">
        <v>71.4</v>
      </c>
      <c r="C20" s="90">
        <v>76.7</v>
      </c>
      <c r="D20" s="90">
        <v>73.9</v>
      </c>
      <c r="E20" s="90"/>
      <c r="F20" s="90"/>
      <c r="G20" s="153"/>
      <c r="M20" s="232"/>
      <c r="N20" s="232"/>
      <c r="O20" s="232"/>
      <c r="P20" s="232"/>
      <c r="Q20" s="232"/>
      <c r="R20" s="232"/>
    </row>
    <row r="21" spans="1:7" ht="15">
      <c r="A21" s="150">
        <v>2005</v>
      </c>
      <c r="B21" s="97">
        <v>71.2</v>
      </c>
      <c r="C21" s="97">
        <v>76.2</v>
      </c>
      <c r="D21" s="97">
        <v>73.5</v>
      </c>
      <c r="E21" s="97"/>
      <c r="F21" s="97"/>
      <c r="G21" s="151"/>
    </row>
    <row r="22" spans="1:11" ht="15">
      <c r="A22" s="152">
        <v>2006</v>
      </c>
      <c r="B22" s="90">
        <v>72.8</v>
      </c>
      <c r="C22" s="90">
        <v>76.6</v>
      </c>
      <c r="D22" s="90">
        <v>74.6</v>
      </c>
      <c r="E22" s="90"/>
      <c r="F22" s="90"/>
      <c r="G22" s="153"/>
      <c r="K22" s="4"/>
    </row>
    <row r="23" spans="1:11" ht="15">
      <c r="A23" s="150">
        <v>2007</v>
      </c>
      <c r="B23" s="97">
        <v>71.9</v>
      </c>
      <c r="C23" s="97">
        <v>77.1</v>
      </c>
      <c r="D23" s="97">
        <v>74.3</v>
      </c>
      <c r="E23" s="97">
        <v>71.9</v>
      </c>
      <c r="F23" s="97">
        <v>77.1</v>
      </c>
      <c r="G23" s="151">
        <v>74.4</v>
      </c>
      <c r="K23" s="4"/>
    </row>
    <row r="24" spans="1:11" ht="15">
      <c r="A24" s="152">
        <v>2008</v>
      </c>
      <c r="B24" s="90"/>
      <c r="C24" s="90"/>
      <c r="D24" s="90"/>
      <c r="E24" s="90">
        <v>72.1</v>
      </c>
      <c r="F24" s="90">
        <v>77.2</v>
      </c>
      <c r="G24" s="153">
        <v>74.6</v>
      </c>
      <c r="K24" s="3"/>
    </row>
    <row r="25" spans="1:7" ht="15">
      <c r="A25" s="150">
        <v>2009</v>
      </c>
      <c r="B25" s="97"/>
      <c r="C25" s="97"/>
      <c r="D25" s="97"/>
      <c r="E25" s="97">
        <v>72.5</v>
      </c>
      <c r="F25" s="97">
        <v>77.5</v>
      </c>
      <c r="G25" s="151">
        <v>74.9</v>
      </c>
    </row>
    <row r="26" spans="1:7" ht="15">
      <c r="A26" s="152">
        <v>2010</v>
      </c>
      <c r="B26" s="90"/>
      <c r="C26" s="90"/>
      <c r="D26" s="90"/>
      <c r="E26" s="90">
        <v>72.8</v>
      </c>
      <c r="F26" s="90">
        <v>77.8</v>
      </c>
      <c r="G26" s="153">
        <v>75.2</v>
      </c>
    </row>
    <row r="27" spans="1:7" ht="15">
      <c r="A27" s="150">
        <v>2011</v>
      </c>
      <c r="B27" s="97"/>
      <c r="C27" s="97"/>
      <c r="D27" s="97"/>
      <c r="E27" s="97">
        <v>73.2</v>
      </c>
      <c r="F27" s="97">
        <v>78</v>
      </c>
      <c r="G27" s="151">
        <v>75.6</v>
      </c>
    </row>
    <row r="28" spans="1:7" ht="15">
      <c r="A28" s="152">
        <v>2012</v>
      </c>
      <c r="B28" s="90"/>
      <c r="C28" s="90"/>
      <c r="D28" s="90"/>
      <c r="E28" s="90">
        <v>73.5</v>
      </c>
      <c r="F28" s="90">
        <v>78.3</v>
      </c>
      <c r="G28" s="153">
        <v>75.9</v>
      </c>
    </row>
    <row r="29" spans="1:7" ht="15">
      <c r="A29" s="150">
        <v>2013</v>
      </c>
      <c r="B29" s="97"/>
      <c r="C29" s="97"/>
      <c r="D29" s="97"/>
      <c r="E29" s="97">
        <v>73.9</v>
      </c>
      <c r="F29" s="97">
        <v>78.6</v>
      </c>
      <c r="G29" s="151">
        <v>76.2</v>
      </c>
    </row>
    <row r="30" spans="1:7" ht="15">
      <c r="A30" s="152">
        <v>2014</v>
      </c>
      <c r="B30" s="90"/>
      <c r="C30" s="90"/>
      <c r="D30" s="90"/>
      <c r="E30" s="90">
        <v>74.3</v>
      </c>
      <c r="F30" s="90">
        <v>79</v>
      </c>
      <c r="G30" s="153">
        <v>76.6</v>
      </c>
    </row>
    <row r="31" spans="1:7" ht="15">
      <c r="A31" s="150">
        <v>2015</v>
      </c>
      <c r="B31" s="97"/>
      <c r="C31" s="97"/>
      <c r="D31" s="97"/>
      <c r="E31" s="97">
        <v>74.7</v>
      </c>
      <c r="F31" s="97">
        <v>79.3</v>
      </c>
      <c r="G31" s="151">
        <v>76.9</v>
      </c>
    </row>
    <row r="32" spans="1:7" ht="15">
      <c r="A32" s="152">
        <v>2016</v>
      </c>
      <c r="B32" s="90"/>
      <c r="C32" s="90"/>
      <c r="D32" s="90"/>
      <c r="E32" s="90">
        <v>75.1</v>
      </c>
      <c r="F32" s="90">
        <v>79.6</v>
      </c>
      <c r="G32" s="153">
        <v>77.3</v>
      </c>
    </row>
    <row r="33" spans="1:7" ht="15">
      <c r="A33" s="150">
        <v>2017</v>
      </c>
      <c r="B33" s="97"/>
      <c r="C33" s="97"/>
      <c r="D33" s="97"/>
      <c r="E33" s="97">
        <v>75.4</v>
      </c>
      <c r="F33" s="97">
        <v>79.9</v>
      </c>
      <c r="G33" s="151">
        <v>77.6</v>
      </c>
    </row>
    <row r="34" spans="1:7" ht="15">
      <c r="A34" s="152">
        <v>2018</v>
      </c>
      <c r="B34" s="90"/>
      <c r="C34" s="90"/>
      <c r="D34" s="90"/>
      <c r="E34" s="90">
        <v>75.7</v>
      </c>
      <c r="F34" s="90">
        <v>80.2</v>
      </c>
      <c r="G34" s="153">
        <v>77.9</v>
      </c>
    </row>
    <row r="35" spans="1:7" ht="15">
      <c r="A35" s="150">
        <v>2019</v>
      </c>
      <c r="B35" s="97"/>
      <c r="C35" s="97"/>
      <c r="D35" s="97"/>
      <c r="E35" s="97">
        <v>76</v>
      </c>
      <c r="F35" s="97">
        <v>80.5</v>
      </c>
      <c r="G35" s="151">
        <v>78.2</v>
      </c>
    </row>
    <row r="36" spans="1:7" ht="15">
      <c r="A36" s="152">
        <v>2020</v>
      </c>
      <c r="B36" s="90"/>
      <c r="C36" s="90"/>
      <c r="D36" s="90"/>
      <c r="E36" s="90">
        <v>76.3</v>
      </c>
      <c r="F36" s="90">
        <v>80.9</v>
      </c>
      <c r="G36" s="153">
        <v>78.5</v>
      </c>
    </row>
    <row r="37" spans="1:7" ht="15">
      <c r="A37" s="150">
        <v>2021</v>
      </c>
      <c r="B37" s="97"/>
      <c r="C37" s="97"/>
      <c r="D37" s="97"/>
      <c r="E37" s="97">
        <v>76.6</v>
      </c>
      <c r="F37" s="97">
        <v>81.2</v>
      </c>
      <c r="G37" s="151">
        <v>78.9</v>
      </c>
    </row>
    <row r="38" spans="1:7" ht="15">
      <c r="A38" s="152">
        <v>2022</v>
      </c>
      <c r="B38" s="90"/>
      <c r="C38" s="90"/>
      <c r="D38" s="90"/>
      <c r="E38" s="90">
        <v>77</v>
      </c>
      <c r="F38" s="90">
        <v>81.5</v>
      </c>
      <c r="G38" s="153">
        <v>79.2</v>
      </c>
    </row>
    <row r="39" spans="1:7" ht="15">
      <c r="A39" s="150">
        <v>2023</v>
      </c>
      <c r="B39" s="97"/>
      <c r="C39" s="97"/>
      <c r="D39" s="97"/>
      <c r="E39" s="97">
        <v>77.3</v>
      </c>
      <c r="F39" s="97">
        <v>81.9</v>
      </c>
      <c r="G39" s="151">
        <v>79.6</v>
      </c>
    </row>
    <row r="40" spans="1:7" ht="15">
      <c r="A40" s="152">
        <v>2024</v>
      </c>
      <c r="B40" s="90"/>
      <c r="C40" s="90"/>
      <c r="D40" s="90"/>
      <c r="E40" s="90">
        <v>77.7</v>
      </c>
      <c r="F40" s="90">
        <v>82.2</v>
      </c>
      <c r="G40" s="153">
        <v>79.9</v>
      </c>
    </row>
    <row r="41" spans="1:7" ht="15">
      <c r="A41" s="150">
        <v>2025</v>
      </c>
      <c r="B41" s="97"/>
      <c r="C41" s="97"/>
      <c r="D41" s="97"/>
      <c r="E41" s="97">
        <v>78</v>
      </c>
      <c r="F41" s="97">
        <v>82.6</v>
      </c>
      <c r="G41" s="151">
        <v>80.3</v>
      </c>
    </row>
    <row r="42" spans="1:7" ht="15">
      <c r="A42" s="152">
        <v>2026</v>
      </c>
      <c r="B42" s="90"/>
      <c r="C42" s="90"/>
      <c r="D42" s="90"/>
      <c r="E42" s="90">
        <v>78.4</v>
      </c>
      <c r="F42" s="90">
        <v>82.9</v>
      </c>
      <c r="G42" s="153">
        <v>80.6</v>
      </c>
    </row>
    <row r="43" spans="1:7" ht="15">
      <c r="A43" s="150">
        <v>2027</v>
      </c>
      <c r="B43" s="97"/>
      <c r="C43" s="97"/>
      <c r="D43" s="97"/>
      <c r="E43" s="97">
        <v>78.7</v>
      </c>
      <c r="F43" s="97">
        <v>83.3</v>
      </c>
      <c r="G43" s="151">
        <v>81</v>
      </c>
    </row>
    <row r="44" spans="2:3" ht="15">
      <c r="B44" s="2"/>
      <c r="C44" s="2"/>
    </row>
    <row r="45" spans="2:3" ht="15">
      <c r="B45" s="2"/>
      <c r="C45" s="2"/>
    </row>
    <row r="46" spans="2:3" ht="15">
      <c r="B46" s="2"/>
      <c r="C46" s="2"/>
    </row>
  </sheetData>
  <sheetProtection/>
  <mergeCells count="2">
    <mergeCell ref="M20:O20"/>
    <mergeCell ref="P20:R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I58"/>
  <sheetViews>
    <sheetView zoomScalePageLayoutView="0" workbookViewId="0" topLeftCell="A1">
      <selection activeCell="G13" sqref="G13"/>
    </sheetView>
  </sheetViews>
  <sheetFormatPr defaultColWidth="11.421875" defaultRowHeight="15"/>
  <cols>
    <col min="1" max="1" width="19.421875" style="0" customWidth="1"/>
    <col min="2" max="2" width="10.421875" style="0" customWidth="1"/>
    <col min="3" max="3" width="13.8515625" style="0" customWidth="1"/>
    <col min="4" max="4" width="11.421875" style="14" customWidth="1"/>
    <col min="8" max="8" width="11.421875" style="9" customWidth="1"/>
  </cols>
  <sheetData>
    <row r="1" spans="1:8" s="6" customFormat="1" ht="37.5" customHeight="1">
      <c r="A1" s="5" t="s">
        <v>10</v>
      </c>
      <c r="D1" s="13"/>
      <c r="H1" s="11"/>
    </row>
    <row r="2" spans="1:8" ht="45">
      <c r="A2" s="84" t="s">
        <v>58</v>
      </c>
      <c r="B2" s="85" t="s">
        <v>0</v>
      </c>
      <c r="C2" s="85" t="s">
        <v>8</v>
      </c>
      <c r="D2" s="154" t="s">
        <v>11</v>
      </c>
      <c r="E2" s="85" t="s">
        <v>13</v>
      </c>
      <c r="F2" s="149" t="s">
        <v>12</v>
      </c>
      <c r="G2" s="1"/>
      <c r="H2" s="12"/>
    </row>
    <row r="3" spans="1:7" ht="15">
      <c r="A3" s="123">
        <v>732</v>
      </c>
      <c r="B3" s="124">
        <v>29900</v>
      </c>
      <c r="C3" s="155"/>
      <c r="D3" s="156"/>
      <c r="E3" s="157"/>
      <c r="F3" s="158"/>
      <c r="G3" s="8"/>
    </row>
    <row r="4" spans="1:7" ht="15">
      <c r="A4" s="125">
        <v>2558</v>
      </c>
      <c r="B4" s="126">
        <v>30600</v>
      </c>
      <c r="C4" s="159"/>
      <c r="D4" s="160"/>
      <c r="E4" s="161">
        <v>5.002739726027397</v>
      </c>
      <c r="F4" s="162">
        <v>0.46</v>
      </c>
      <c r="G4" s="8"/>
    </row>
    <row r="5" spans="1:9" ht="15">
      <c r="A5" s="123">
        <v>4019</v>
      </c>
      <c r="B5" s="124">
        <v>31900</v>
      </c>
      <c r="C5" s="155"/>
      <c r="D5" s="156"/>
      <c r="E5" s="157">
        <v>4.002739726027397</v>
      </c>
      <c r="F5" s="158">
        <v>1.04</v>
      </c>
      <c r="G5" s="8"/>
      <c r="I5" s="9"/>
    </row>
    <row r="6" spans="1:9" ht="15">
      <c r="A6" s="125">
        <v>7672</v>
      </c>
      <c r="B6" s="126">
        <v>31600</v>
      </c>
      <c r="C6" s="159"/>
      <c r="D6" s="160"/>
      <c r="E6" s="161">
        <v>10.008219178082191</v>
      </c>
      <c r="F6" s="162">
        <v>-0.09</v>
      </c>
      <c r="G6" s="8"/>
      <c r="I6" s="9"/>
    </row>
    <row r="7" spans="1:9" ht="15">
      <c r="A7" s="123">
        <v>9498</v>
      </c>
      <c r="B7" s="124">
        <v>35900</v>
      </c>
      <c r="C7" s="155"/>
      <c r="D7" s="156"/>
      <c r="E7" s="157">
        <v>5.002739726027397</v>
      </c>
      <c r="F7" s="158">
        <v>2.58</v>
      </c>
      <c r="G7" s="8"/>
      <c r="I7" s="9"/>
    </row>
    <row r="8" spans="1:9" ht="15">
      <c r="A8" s="125">
        <v>11324</v>
      </c>
      <c r="B8" s="126">
        <v>40400</v>
      </c>
      <c r="C8" s="159"/>
      <c r="D8" s="160"/>
      <c r="E8" s="161">
        <v>5.002739726027397</v>
      </c>
      <c r="F8" s="162">
        <v>2.39</v>
      </c>
      <c r="G8" s="8"/>
      <c r="I8" s="9"/>
    </row>
    <row r="9" spans="1:9" ht="15">
      <c r="A9" s="123">
        <v>13150</v>
      </c>
      <c r="B9" s="124">
        <v>44000</v>
      </c>
      <c r="C9" s="155"/>
      <c r="D9" s="156"/>
      <c r="E9" s="157">
        <v>5.002739726027397</v>
      </c>
      <c r="F9" s="158">
        <v>1.72</v>
      </c>
      <c r="G9" s="8"/>
      <c r="I9" s="9"/>
    </row>
    <row r="10" spans="1:9" ht="15">
      <c r="A10" s="125">
        <v>14977</v>
      </c>
      <c r="B10" s="126">
        <v>51200</v>
      </c>
      <c r="C10" s="159"/>
      <c r="D10" s="160"/>
      <c r="E10" s="161">
        <v>5.005479452054795</v>
      </c>
      <c r="F10" s="162">
        <v>3.07</v>
      </c>
      <c r="G10" s="8"/>
      <c r="I10" s="9"/>
    </row>
    <row r="11" spans="1:9" ht="15">
      <c r="A11" s="123">
        <v>16803</v>
      </c>
      <c r="B11" s="124">
        <v>55400</v>
      </c>
      <c r="C11" s="155"/>
      <c r="D11" s="156"/>
      <c r="E11" s="157">
        <v>5.002739726027397</v>
      </c>
      <c r="F11" s="158">
        <v>1.59</v>
      </c>
      <c r="G11" s="8"/>
      <c r="I11" s="9"/>
    </row>
    <row r="12" spans="1:9" ht="15">
      <c r="A12" s="125">
        <v>18889</v>
      </c>
      <c r="B12" s="126">
        <v>62700</v>
      </c>
      <c r="C12" s="159"/>
      <c r="D12" s="160"/>
      <c r="E12" s="161">
        <v>5.715068493150685</v>
      </c>
      <c r="F12" s="162">
        <v>2.19</v>
      </c>
      <c r="G12" s="8"/>
      <c r="I12" s="9"/>
    </row>
    <row r="13" spans="1:9" ht="15">
      <c r="A13" s="123">
        <v>20802</v>
      </c>
      <c r="B13" s="124">
        <v>76300</v>
      </c>
      <c r="C13" s="155"/>
      <c r="D13" s="156"/>
      <c r="E13" s="157">
        <v>5.241095890410959</v>
      </c>
      <c r="F13" s="158">
        <v>3.82</v>
      </c>
      <c r="G13" s="8"/>
      <c r="I13" s="9"/>
    </row>
    <row r="14" spans="1:9" ht="15">
      <c r="A14" s="125">
        <v>22959</v>
      </c>
      <c r="B14" s="126">
        <v>84500</v>
      </c>
      <c r="C14" s="159"/>
      <c r="D14" s="160"/>
      <c r="E14" s="161">
        <v>5.909589041095891</v>
      </c>
      <c r="F14" s="162">
        <v>1.74</v>
      </c>
      <c r="G14" s="8"/>
      <c r="I14" s="9"/>
    </row>
    <row r="15" spans="1:9" ht="15">
      <c r="A15" s="123">
        <v>24473</v>
      </c>
      <c r="B15" s="124">
        <v>98400</v>
      </c>
      <c r="C15" s="155"/>
      <c r="D15" s="156"/>
      <c r="E15" s="157">
        <v>4.147945205479452</v>
      </c>
      <c r="F15" s="158">
        <v>3.74</v>
      </c>
      <c r="G15" s="8"/>
      <c r="I15" s="9"/>
    </row>
    <row r="16" spans="1:9" ht="15">
      <c r="A16" s="125">
        <v>25972</v>
      </c>
      <c r="B16" s="126">
        <v>119200</v>
      </c>
      <c r="C16" s="159"/>
      <c r="D16" s="160"/>
      <c r="E16" s="161">
        <v>4.1068493150684935</v>
      </c>
      <c r="F16" s="162">
        <v>4.78</v>
      </c>
      <c r="G16" s="8"/>
      <c r="I16" s="9"/>
    </row>
    <row r="17" spans="1:9" ht="15">
      <c r="A17" s="123">
        <v>28244</v>
      </c>
      <c r="B17" s="124">
        <v>137400</v>
      </c>
      <c r="C17" s="155"/>
      <c r="D17" s="156"/>
      <c r="E17" s="157">
        <v>6.2246575342465755</v>
      </c>
      <c r="F17" s="158">
        <v>2.31</v>
      </c>
      <c r="G17" s="8"/>
      <c r="I17" s="9"/>
    </row>
    <row r="18" spans="1:9" ht="15">
      <c r="A18" s="125">
        <v>30604</v>
      </c>
      <c r="B18" s="126">
        <v>166800</v>
      </c>
      <c r="C18" s="159"/>
      <c r="D18" s="160"/>
      <c r="E18" s="161">
        <v>6.465753424657534</v>
      </c>
      <c r="F18" s="162">
        <v>3.04</v>
      </c>
      <c r="G18" s="8"/>
      <c r="I18" s="9"/>
    </row>
    <row r="19" spans="1:9" ht="15">
      <c r="A19" s="123">
        <v>32508</v>
      </c>
      <c r="B19" s="163">
        <v>190196</v>
      </c>
      <c r="C19" s="155"/>
      <c r="D19" s="156"/>
      <c r="E19" s="157">
        <v>5.2164383561643834</v>
      </c>
      <c r="F19" s="158">
        <v>2.55</v>
      </c>
      <c r="G19" s="8"/>
      <c r="I19" s="9"/>
    </row>
    <row r="20" spans="1:9" ht="15">
      <c r="A20" s="125">
        <v>32873</v>
      </c>
      <c r="B20" s="164">
        <v>194228</v>
      </c>
      <c r="C20" s="159"/>
      <c r="D20" s="160">
        <v>2.12</v>
      </c>
      <c r="E20" s="161">
        <v>1</v>
      </c>
      <c r="F20" s="162">
        <v>2.12</v>
      </c>
      <c r="G20" s="8"/>
      <c r="I20" s="9"/>
    </row>
    <row r="21" spans="1:9" ht="15">
      <c r="A21" s="123">
        <v>33238</v>
      </c>
      <c r="B21" s="163">
        <v>198428</v>
      </c>
      <c r="C21" s="155"/>
      <c r="D21" s="156">
        <v>2.16</v>
      </c>
      <c r="E21" s="157">
        <v>1</v>
      </c>
      <c r="F21" s="158">
        <v>2.16</v>
      </c>
      <c r="G21" s="8"/>
      <c r="I21" s="9"/>
    </row>
    <row r="22" spans="1:9" ht="15">
      <c r="A22" s="125">
        <v>33603</v>
      </c>
      <c r="B22" s="164">
        <v>202420</v>
      </c>
      <c r="C22" s="159"/>
      <c r="D22" s="160">
        <v>2.01</v>
      </c>
      <c r="E22" s="161">
        <v>1</v>
      </c>
      <c r="F22" s="162">
        <v>2.01</v>
      </c>
      <c r="G22" s="8"/>
      <c r="I22" s="9"/>
    </row>
    <row r="23" spans="1:9" ht="15">
      <c r="A23" s="123">
        <v>33969</v>
      </c>
      <c r="B23" s="163">
        <v>206283</v>
      </c>
      <c r="C23" s="155"/>
      <c r="D23" s="156">
        <v>1.91</v>
      </c>
      <c r="E23" s="157">
        <v>1.0027397260273974</v>
      </c>
      <c r="F23" s="158">
        <v>1.91</v>
      </c>
      <c r="G23" s="8"/>
      <c r="I23" s="9"/>
    </row>
    <row r="24" spans="1:9" ht="15">
      <c r="A24" s="125">
        <v>34334</v>
      </c>
      <c r="B24" s="164">
        <v>210128</v>
      </c>
      <c r="C24" s="159"/>
      <c r="D24" s="160">
        <v>1.86</v>
      </c>
      <c r="E24" s="161">
        <v>1</v>
      </c>
      <c r="F24" s="162">
        <v>1.86</v>
      </c>
      <c r="G24" s="8"/>
      <c r="I24" s="9"/>
    </row>
    <row r="25" spans="1:9" ht="15">
      <c r="A25" s="123">
        <v>34699</v>
      </c>
      <c r="B25" s="163">
        <v>213768</v>
      </c>
      <c r="C25" s="155"/>
      <c r="D25" s="156">
        <v>1.73</v>
      </c>
      <c r="E25" s="157">
        <v>1</v>
      </c>
      <c r="F25" s="158">
        <v>1.73</v>
      </c>
      <c r="G25" s="8"/>
      <c r="I25" s="9"/>
    </row>
    <row r="26" spans="1:9" ht="15">
      <c r="A26" s="125">
        <v>35064</v>
      </c>
      <c r="B26" s="164">
        <v>217171</v>
      </c>
      <c r="C26" s="159"/>
      <c r="D26" s="160">
        <v>1.59</v>
      </c>
      <c r="E26" s="161">
        <v>1</v>
      </c>
      <c r="F26" s="162">
        <v>1.59</v>
      </c>
      <c r="G26" s="8"/>
      <c r="I26" s="9"/>
    </row>
    <row r="27" spans="1:9" ht="15">
      <c r="A27" s="123">
        <v>35430</v>
      </c>
      <c r="B27" s="163">
        <v>220853</v>
      </c>
      <c r="C27" s="155"/>
      <c r="D27" s="156">
        <v>1.7</v>
      </c>
      <c r="E27" s="157">
        <v>1.0027397260273974</v>
      </c>
      <c r="F27" s="158">
        <v>1.7</v>
      </c>
      <c r="G27" s="8"/>
      <c r="I27" s="9"/>
    </row>
    <row r="28" spans="1:9" ht="15">
      <c r="A28" s="125">
        <v>35795</v>
      </c>
      <c r="B28" s="164">
        <v>224886</v>
      </c>
      <c r="C28" s="159"/>
      <c r="D28" s="160">
        <v>1.83</v>
      </c>
      <c r="E28" s="161">
        <v>1</v>
      </c>
      <c r="F28" s="162">
        <v>1.83</v>
      </c>
      <c r="G28" s="8"/>
      <c r="I28" s="9"/>
    </row>
    <row r="29" spans="1:9" ht="15">
      <c r="A29" s="123">
        <v>36160</v>
      </c>
      <c r="B29" s="163">
        <v>228752</v>
      </c>
      <c r="C29" s="155"/>
      <c r="D29" s="156">
        <v>1.72</v>
      </c>
      <c r="E29" s="157">
        <v>1</v>
      </c>
      <c r="F29" s="158">
        <v>1.72</v>
      </c>
      <c r="G29" s="8"/>
      <c r="I29" s="9"/>
    </row>
    <row r="30" spans="1:9" ht="15">
      <c r="A30" s="125">
        <v>36525</v>
      </c>
      <c r="B30" s="164">
        <v>232934</v>
      </c>
      <c r="C30" s="159"/>
      <c r="D30" s="160">
        <v>1.83</v>
      </c>
      <c r="E30" s="161">
        <v>1</v>
      </c>
      <c r="F30" s="162">
        <v>1.83</v>
      </c>
      <c r="G30" s="8"/>
      <c r="I30" s="9"/>
    </row>
    <row r="31" spans="1:9" ht="15">
      <c r="A31" s="123">
        <v>36891</v>
      </c>
      <c r="B31" s="163">
        <v>237233</v>
      </c>
      <c r="C31" s="155"/>
      <c r="D31" s="156">
        <v>1.85</v>
      </c>
      <c r="E31" s="157">
        <v>1.0027397260273974</v>
      </c>
      <c r="F31" s="158">
        <v>1.85</v>
      </c>
      <c r="G31" s="8"/>
      <c r="I31" s="9"/>
    </row>
    <row r="32" spans="1:9" ht="15">
      <c r="A32" s="125">
        <v>37256</v>
      </c>
      <c r="B32" s="164">
        <v>241346</v>
      </c>
      <c r="C32" s="159"/>
      <c r="D32" s="160">
        <v>1.73</v>
      </c>
      <c r="E32" s="161">
        <v>1</v>
      </c>
      <c r="F32" s="162">
        <v>1.73</v>
      </c>
      <c r="G32" s="8"/>
      <c r="I32" s="9"/>
    </row>
    <row r="33" spans="1:9" ht="15">
      <c r="A33" s="123">
        <v>37621</v>
      </c>
      <c r="B33" s="163">
        <v>245304</v>
      </c>
      <c r="C33" s="155"/>
      <c r="D33" s="156">
        <v>1.64</v>
      </c>
      <c r="E33" s="157">
        <v>1</v>
      </c>
      <c r="F33" s="158">
        <v>1.64</v>
      </c>
      <c r="G33" s="8"/>
      <c r="I33" s="9"/>
    </row>
    <row r="34" spans="1:9" ht="15">
      <c r="A34" s="125">
        <v>37986</v>
      </c>
      <c r="B34" s="164">
        <v>248461</v>
      </c>
      <c r="C34" s="159"/>
      <c r="D34" s="160">
        <v>1.29</v>
      </c>
      <c r="E34" s="161">
        <v>1</v>
      </c>
      <c r="F34" s="162">
        <v>1.29</v>
      </c>
      <c r="G34" s="8"/>
      <c r="I34" s="9"/>
    </row>
    <row r="35" spans="1:9" ht="15">
      <c r="A35" s="123">
        <v>38352</v>
      </c>
      <c r="B35" s="163">
        <v>251540</v>
      </c>
      <c r="C35" s="155"/>
      <c r="D35" s="156">
        <v>1.24</v>
      </c>
      <c r="E35" s="157">
        <v>1.0027397260273974</v>
      </c>
      <c r="F35" s="158">
        <v>1.24</v>
      </c>
      <c r="G35" s="8"/>
      <c r="I35" s="9"/>
    </row>
    <row r="36" spans="1:9" ht="15">
      <c r="A36" s="125">
        <v>38717</v>
      </c>
      <c r="B36" s="164">
        <v>254546</v>
      </c>
      <c r="C36" s="159"/>
      <c r="D36" s="160">
        <v>1.2</v>
      </c>
      <c r="E36" s="161">
        <v>1</v>
      </c>
      <c r="F36" s="162">
        <v>1.2</v>
      </c>
      <c r="G36" s="8"/>
      <c r="I36" s="9"/>
    </row>
    <row r="37" spans="1:9" ht="15">
      <c r="A37" s="123">
        <v>39082</v>
      </c>
      <c r="B37" s="163">
        <v>257765</v>
      </c>
      <c r="C37" s="155"/>
      <c r="D37" s="156">
        <v>1.26</v>
      </c>
      <c r="E37" s="157">
        <v>1</v>
      </c>
      <c r="F37" s="158">
        <v>1.26</v>
      </c>
      <c r="G37" s="8"/>
      <c r="I37" s="9"/>
    </row>
    <row r="38" spans="1:9" ht="15">
      <c r="A38" s="125">
        <v>39447</v>
      </c>
      <c r="B38" s="164">
        <v>260740</v>
      </c>
      <c r="C38" s="164">
        <v>260740</v>
      </c>
      <c r="D38" s="160">
        <v>1.15</v>
      </c>
      <c r="E38" s="161">
        <v>1</v>
      </c>
      <c r="F38" s="162">
        <v>1.15</v>
      </c>
      <c r="G38" s="8"/>
      <c r="I38" s="9"/>
    </row>
    <row r="39" spans="1:9" ht="15">
      <c r="A39" s="123">
        <v>39813</v>
      </c>
      <c r="B39" s="124"/>
      <c r="C39" s="163">
        <v>263885</v>
      </c>
      <c r="D39" s="156">
        <v>1.21</v>
      </c>
      <c r="E39" s="157">
        <v>1.0027397260273974</v>
      </c>
      <c r="F39" s="158">
        <v>1.21</v>
      </c>
      <c r="G39" s="8"/>
      <c r="I39" s="9"/>
    </row>
    <row r="40" spans="1:9" ht="15">
      <c r="A40" s="125">
        <v>40178</v>
      </c>
      <c r="B40" s="126"/>
      <c r="C40" s="164">
        <v>267067</v>
      </c>
      <c r="D40" s="160">
        <v>1.21</v>
      </c>
      <c r="E40" s="161">
        <v>1</v>
      </c>
      <c r="F40" s="162">
        <v>1.21</v>
      </c>
      <c r="G40" s="8"/>
      <c r="I40" s="9"/>
    </row>
    <row r="41" spans="1:9" ht="15">
      <c r="A41" s="123">
        <v>40543</v>
      </c>
      <c r="B41" s="124"/>
      <c r="C41" s="163">
        <v>270259</v>
      </c>
      <c r="D41" s="156">
        <v>1.2</v>
      </c>
      <c r="E41" s="157">
        <v>1</v>
      </c>
      <c r="F41" s="158">
        <v>1.2</v>
      </c>
      <c r="G41" s="8"/>
      <c r="I41" s="9"/>
    </row>
    <row r="42" spans="1:9" ht="15">
      <c r="A42" s="125">
        <v>40908</v>
      </c>
      <c r="B42" s="126"/>
      <c r="C42" s="164">
        <v>273455</v>
      </c>
      <c r="D42" s="160">
        <v>1.18</v>
      </c>
      <c r="E42" s="161">
        <v>1</v>
      </c>
      <c r="F42" s="162">
        <v>1.18</v>
      </c>
      <c r="G42" s="8"/>
      <c r="I42" s="9"/>
    </row>
    <row r="43" spans="1:9" ht="15">
      <c r="A43" s="123">
        <v>41274</v>
      </c>
      <c r="B43" s="124"/>
      <c r="C43" s="163">
        <v>276649</v>
      </c>
      <c r="D43" s="156">
        <v>1.17</v>
      </c>
      <c r="E43" s="157">
        <v>1.0027397260273974</v>
      </c>
      <c r="F43" s="158">
        <v>1.17</v>
      </c>
      <c r="G43" s="8"/>
      <c r="I43" s="9"/>
    </row>
    <row r="44" spans="1:9" ht="15">
      <c r="A44" s="125">
        <v>41639</v>
      </c>
      <c r="B44" s="126"/>
      <c r="C44" s="164">
        <v>279838</v>
      </c>
      <c r="D44" s="160">
        <v>1.15</v>
      </c>
      <c r="E44" s="161">
        <v>1</v>
      </c>
      <c r="F44" s="162">
        <v>1.15</v>
      </c>
      <c r="G44" s="8"/>
      <c r="I44" s="9"/>
    </row>
    <row r="45" spans="1:9" ht="15">
      <c r="A45" s="123">
        <v>42004</v>
      </c>
      <c r="B45" s="124"/>
      <c r="C45" s="163">
        <v>283018</v>
      </c>
      <c r="D45" s="156">
        <v>1.14</v>
      </c>
      <c r="E45" s="157">
        <v>1</v>
      </c>
      <c r="F45" s="158">
        <v>1.14</v>
      </c>
      <c r="G45" s="8"/>
      <c r="I45" s="9"/>
    </row>
    <row r="46" spans="1:9" ht="15">
      <c r="A46" s="125">
        <v>42369</v>
      </c>
      <c r="B46" s="126"/>
      <c r="C46" s="164">
        <v>286181</v>
      </c>
      <c r="D46" s="160">
        <v>1.12</v>
      </c>
      <c r="E46" s="161">
        <v>1</v>
      </c>
      <c r="F46" s="162">
        <v>1.12</v>
      </c>
      <c r="G46" s="8"/>
      <c r="I46" s="9"/>
    </row>
    <row r="47" spans="1:9" ht="15">
      <c r="A47" s="123">
        <v>42735</v>
      </c>
      <c r="B47" s="124"/>
      <c r="C47" s="163">
        <v>289324</v>
      </c>
      <c r="D47" s="156">
        <v>1.1</v>
      </c>
      <c r="E47" s="157">
        <v>1.0027397260273974</v>
      </c>
      <c r="F47" s="158">
        <v>1.1</v>
      </c>
      <c r="G47" s="8"/>
      <c r="I47" s="9"/>
    </row>
    <row r="48" spans="1:9" ht="15">
      <c r="A48" s="125">
        <v>43100</v>
      </c>
      <c r="B48" s="126"/>
      <c r="C48" s="164">
        <v>292416</v>
      </c>
      <c r="D48" s="160">
        <v>1.07</v>
      </c>
      <c r="E48" s="161">
        <v>1</v>
      </c>
      <c r="F48" s="162">
        <v>1.07</v>
      </c>
      <c r="G48" s="8"/>
      <c r="I48" s="9"/>
    </row>
    <row r="49" spans="1:9" ht="15">
      <c r="A49" s="123">
        <v>43465</v>
      </c>
      <c r="B49" s="124"/>
      <c r="C49" s="163">
        <v>295471</v>
      </c>
      <c r="D49" s="156">
        <v>1.04</v>
      </c>
      <c r="E49" s="157">
        <v>1</v>
      </c>
      <c r="F49" s="158">
        <v>1.04</v>
      </c>
      <c r="G49" s="8"/>
      <c r="I49" s="9"/>
    </row>
    <row r="50" spans="1:9" ht="15">
      <c r="A50" s="125">
        <v>43830</v>
      </c>
      <c r="B50" s="126"/>
      <c r="C50" s="164">
        <v>298488</v>
      </c>
      <c r="D50" s="160">
        <v>1.02</v>
      </c>
      <c r="E50" s="161">
        <v>1</v>
      </c>
      <c r="F50" s="162">
        <v>1.02</v>
      </c>
      <c r="G50" s="8"/>
      <c r="I50" s="9"/>
    </row>
    <row r="51" spans="1:9" ht="15">
      <c r="A51" s="123">
        <v>44196</v>
      </c>
      <c r="B51" s="124"/>
      <c r="C51" s="163">
        <v>301460</v>
      </c>
      <c r="D51" s="156">
        <v>1</v>
      </c>
      <c r="E51" s="157">
        <v>1.0027397260273974</v>
      </c>
      <c r="F51" s="158">
        <v>1</v>
      </c>
      <c r="G51" s="8"/>
      <c r="I51" s="9"/>
    </row>
    <row r="52" spans="1:9" ht="15">
      <c r="A52" s="125">
        <v>44561</v>
      </c>
      <c r="B52" s="126"/>
      <c r="C52" s="164">
        <v>304385</v>
      </c>
      <c r="D52" s="160">
        <v>0.97</v>
      </c>
      <c r="E52" s="161">
        <v>1</v>
      </c>
      <c r="F52" s="162">
        <v>0.97</v>
      </c>
      <c r="G52" s="8"/>
      <c r="I52" s="9"/>
    </row>
    <row r="53" spans="1:9" ht="15">
      <c r="A53" s="123">
        <v>44926</v>
      </c>
      <c r="B53" s="124"/>
      <c r="C53" s="163">
        <v>307254</v>
      </c>
      <c r="D53" s="156">
        <v>0.94</v>
      </c>
      <c r="E53" s="157">
        <v>1</v>
      </c>
      <c r="F53" s="158">
        <v>0.94</v>
      </c>
      <c r="G53" s="8"/>
      <c r="I53" s="9"/>
    </row>
    <row r="54" spans="1:9" ht="15">
      <c r="A54" s="125">
        <v>45291</v>
      </c>
      <c r="B54" s="126"/>
      <c r="C54" s="164">
        <v>310060</v>
      </c>
      <c r="D54" s="160">
        <v>0.91</v>
      </c>
      <c r="E54" s="161">
        <v>1</v>
      </c>
      <c r="F54" s="162">
        <v>0.91</v>
      </c>
      <c r="G54" s="8"/>
      <c r="I54" s="9"/>
    </row>
    <row r="55" spans="1:9" ht="15">
      <c r="A55" s="123">
        <v>45657</v>
      </c>
      <c r="B55" s="124"/>
      <c r="C55" s="163">
        <v>312799</v>
      </c>
      <c r="D55" s="156">
        <v>0.88</v>
      </c>
      <c r="E55" s="157">
        <v>1.0027397260273974</v>
      </c>
      <c r="F55" s="158">
        <v>0.88</v>
      </c>
      <c r="G55" s="8"/>
      <c r="I55" s="9"/>
    </row>
    <row r="56" spans="1:9" ht="15">
      <c r="A56" s="125">
        <v>46022</v>
      </c>
      <c r="B56" s="126"/>
      <c r="C56" s="164">
        <v>315470</v>
      </c>
      <c r="D56" s="160">
        <v>0.85</v>
      </c>
      <c r="E56" s="161">
        <v>1</v>
      </c>
      <c r="F56" s="162">
        <v>0.85</v>
      </c>
      <c r="G56" s="8"/>
      <c r="I56" s="9"/>
    </row>
    <row r="57" spans="1:9" ht="15">
      <c r="A57" s="123">
        <v>46387</v>
      </c>
      <c r="B57" s="124"/>
      <c r="C57" s="163">
        <v>318071</v>
      </c>
      <c r="D57" s="156">
        <v>0.82</v>
      </c>
      <c r="E57" s="157">
        <v>1</v>
      </c>
      <c r="F57" s="158">
        <v>0.82</v>
      </c>
      <c r="G57" s="8"/>
      <c r="I57" s="9"/>
    </row>
    <row r="58" spans="1:9" ht="15">
      <c r="A58" s="125">
        <v>46752</v>
      </c>
      <c r="B58" s="126"/>
      <c r="C58" s="164">
        <v>320605</v>
      </c>
      <c r="D58" s="160">
        <v>0.8</v>
      </c>
      <c r="E58" s="161">
        <v>1</v>
      </c>
      <c r="F58" s="162">
        <v>0.8</v>
      </c>
      <c r="G58" s="8"/>
      <c r="I58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21"/>
  <sheetViews>
    <sheetView zoomScalePageLayoutView="0" workbookViewId="0" topLeftCell="A1">
      <selection activeCell="A2" sqref="A2:D9"/>
    </sheetView>
  </sheetViews>
  <sheetFormatPr defaultColWidth="11.421875" defaultRowHeight="15"/>
  <cols>
    <col min="2" max="3" width="25.140625" style="0" customWidth="1"/>
    <col min="4" max="4" width="20.8515625" style="0" customWidth="1"/>
    <col min="5" max="5" width="12.8515625" style="0" customWidth="1"/>
  </cols>
  <sheetData>
    <row r="1" ht="28.5">
      <c r="A1" s="19" t="s">
        <v>20</v>
      </c>
    </row>
    <row r="2" spans="1:4" ht="30">
      <c r="A2" s="165" t="s">
        <v>58</v>
      </c>
      <c r="B2" s="166" t="s">
        <v>94</v>
      </c>
      <c r="C2" s="166" t="s">
        <v>18</v>
      </c>
      <c r="D2" s="167" t="s">
        <v>19</v>
      </c>
    </row>
    <row r="3" spans="1:6" ht="15">
      <c r="A3" s="123">
        <v>28244</v>
      </c>
      <c r="B3" s="168">
        <v>25589</v>
      </c>
      <c r="C3" s="168">
        <v>133357</v>
      </c>
      <c r="D3" s="151">
        <v>5.2</v>
      </c>
      <c r="E3" s="17"/>
      <c r="F3" s="7"/>
    </row>
    <row r="4" spans="1:6" ht="15">
      <c r="A4" s="125">
        <v>30604</v>
      </c>
      <c r="B4" s="169">
        <v>32140</v>
      </c>
      <c r="C4" s="169">
        <v>161477</v>
      </c>
      <c r="D4" s="153">
        <v>5</v>
      </c>
      <c r="E4" s="17"/>
      <c r="F4" s="7"/>
    </row>
    <row r="5" spans="1:6" ht="15">
      <c r="A5" s="123">
        <v>32392</v>
      </c>
      <c r="B5" s="168">
        <v>39513</v>
      </c>
      <c r="C5" s="168">
        <v>184787</v>
      </c>
      <c r="D5" s="151">
        <v>4.7</v>
      </c>
      <c r="E5" s="17"/>
      <c r="F5" s="7"/>
    </row>
    <row r="6" spans="1:6" ht="15">
      <c r="A6" s="125">
        <v>35311</v>
      </c>
      <c r="B6" s="169">
        <v>49574</v>
      </c>
      <c r="C6" s="169">
        <v>215396</v>
      </c>
      <c r="D6" s="153">
        <v>4.3</v>
      </c>
      <c r="E6" s="17"/>
      <c r="F6" s="7"/>
    </row>
    <row r="7" spans="1:6" ht="15">
      <c r="A7" s="123">
        <v>37567</v>
      </c>
      <c r="B7" s="168">
        <v>60541</v>
      </c>
      <c r="C7" s="168">
        <v>242498</v>
      </c>
      <c r="D7" s="151">
        <v>4</v>
      </c>
      <c r="E7" s="17"/>
      <c r="F7" s="7"/>
    </row>
    <row r="8" spans="1:6" ht="15">
      <c r="A8" s="125">
        <v>39447</v>
      </c>
      <c r="B8" s="169">
        <v>67368.42105263159</v>
      </c>
      <c r="C8" s="169">
        <v>256000</v>
      </c>
      <c r="D8" s="153">
        <v>3.8</v>
      </c>
      <c r="E8" s="17"/>
      <c r="F8" s="7"/>
    </row>
    <row r="9" spans="1:6" ht="15">
      <c r="A9" s="170">
        <v>46388</v>
      </c>
      <c r="B9" s="171">
        <v>105333.33333333333</v>
      </c>
      <c r="C9" s="172">
        <v>316000</v>
      </c>
      <c r="D9" s="173">
        <v>3</v>
      </c>
      <c r="E9" s="17"/>
      <c r="F9" s="16"/>
    </row>
    <row r="10" spans="2:3" ht="15">
      <c r="B10" s="18"/>
      <c r="C10" s="18"/>
    </row>
    <row r="14" ht="15">
      <c r="A14" s="15"/>
    </row>
    <row r="15" spans="1:3" ht="15">
      <c r="A15" s="7"/>
      <c r="B15" s="17"/>
      <c r="C15" s="17"/>
    </row>
    <row r="16" spans="1:3" ht="15">
      <c r="A16" s="7"/>
      <c r="B16" s="17"/>
      <c r="C16" s="17"/>
    </row>
    <row r="17" spans="1:3" ht="15">
      <c r="A17" s="7"/>
      <c r="B17" s="17"/>
      <c r="C17" s="17"/>
    </row>
    <row r="18" spans="1:3" ht="15">
      <c r="A18" s="7"/>
      <c r="B18" s="17"/>
      <c r="C18" s="17"/>
    </row>
    <row r="19" spans="1:3" ht="15">
      <c r="A19" s="7"/>
      <c r="B19" s="17"/>
      <c r="C19" s="17"/>
    </row>
    <row r="20" spans="1:3" ht="15">
      <c r="A20" s="7"/>
      <c r="B20" s="17"/>
      <c r="C20" s="17"/>
    </row>
    <row r="21" spans="1:3" ht="15">
      <c r="A21" s="16"/>
      <c r="B21" s="18"/>
      <c r="C21" s="1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49"/>
  <sheetViews>
    <sheetView zoomScalePageLayoutView="0" workbookViewId="0" topLeftCell="A1">
      <selection activeCell="G16" sqref="G16"/>
    </sheetView>
  </sheetViews>
  <sheetFormatPr defaultColWidth="11.421875" defaultRowHeight="15"/>
  <cols>
    <col min="1" max="1" width="3.140625" style="20" customWidth="1"/>
    <col min="2" max="2" width="18.140625" style="20" customWidth="1"/>
    <col min="3" max="3" width="10.57421875" style="20" customWidth="1"/>
    <col min="4" max="4" width="12.8515625" style="20" bestFit="1" customWidth="1"/>
    <col min="5" max="5" width="11.7109375" style="20" bestFit="1" customWidth="1"/>
    <col min="6" max="6" width="11.7109375" style="20" customWidth="1"/>
    <col min="7" max="9" width="10.57421875" style="20" customWidth="1"/>
    <col min="10" max="11" width="11.57421875" style="20" customWidth="1"/>
    <col min="12" max="16384" width="11.421875" style="20" customWidth="1"/>
  </cols>
  <sheetData>
    <row r="1" spans="2:11" ht="27.75" customHeight="1">
      <c r="B1" s="19" t="s">
        <v>45</v>
      </c>
      <c r="C1" s="19"/>
      <c r="D1" s="19"/>
      <c r="E1" s="19"/>
      <c r="F1" s="19"/>
      <c r="G1" s="19"/>
      <c r="H1" s="19"/>
      <c r="I1" s="19"/>
      <c r="J1" s="19"/>
      <c r="K1" s="19"/>
    </row>
    <row r="3" spans="1:11" ht="15">
      <c r="A3" s="27"/>
      <c r="B3" s="27"/>
      <c r="C3" s="233">
        <v>2027</v>
      </c>
      <c r="D3" s="233"/>
      <c r="E3" s="233"/>
      <c r="F3" s="233">
        <v>2007</v>
      </c>
      <c r="G3" s="233"/>
      <c r="H3" s="233"/>
      <c r="I3" s="233">
        <v>1988</v>
      </c>
      <c r="J3" s="233"/>
      <c r="K3" s="233"/>
    </row>
    <row r="4" spans="1:11" ht="24" customHeight="1">
      <c r="A4" s="27"/>
      <c r="B4" s="27" t="s">
        <v>21</v>
      </c>
      <c r="C4" s="27" t="s">
        <v>5</v>
      </c>
      <c r="D4" s="27" t="str">
        <f>_xlfn.COMPOUNDVALUE(1)</f>
        <v>Hommes</v>
      </c>
      <c r="E4" s="27" t="str">
        <f>_xlfn.COMPOUNDVALUE(2)</f>
        <v>Femmes</v>
      </c>
      <c r="F4" s="27" t="s">
        <v>5</v>
      </c>
      <c r="G4" s="27" t="str">
        <f>_xlfn.COMPOUNDVALUE(1)</f>
        <v>Hommes</v>
      </c>
      <c r="H4" s="27" t="str">
        <f>_xlfn.COMPOUNDVALUE(2)</f>
        <v>Femmes</v>
      </c>
      <c r="I4" s="27" t="s">
        <v>5</v>
      </c>
      <c r="J4" s="27" t="str">
        <f>_xlfn.COMPOUNDVALUE(1)</f>
        <v>Hommes</v>
      </c>
      <c r="K4" s="27" t="str">
        <f>_xlfn.COMPOUNDVALUE(2)</f>
        <v>Femmes</v>
      </c>
    </row>
    <row r="5" spans="1:11" ht="24" customHeight="1">
      <c r="A5" s="174">
        <v>0</v>
      </c>
      <c r="B5" s="175" t="str">
        <f>_xlfn.COMPOUNDVALUE(3)</f>
        <v>Moins de 5 ans</v>
      </c>
      <c r="C5" s="176">
        <v>21758</v>
      </c>
      <c r="D5" s="177">
        <v>-11156</v>
      </c>
      <c r="E5" s="177">
        <v>10602</v>
      </c>
      <c r="F5" s="176">
        <v>21750</v>
      </c>
      <c r="G5" s="177">
        <v>-11193</v>
      </c>
      <c r="H5" s="177">
        <v>10557</v>
      </c>
      <c r="I5" s="176">
        <f>_xlfn.COMPOUNDVALUE(5)</f>
        <v>23896</v>
      </c>
      <c r="J5" s="177">
        <f>_xlfn.COMPOUNDVALUE(4)</f>
        <v>-12219.000000000002</v>
      </c>
      <c r="K5" s="177">
        <f>_xlfn.COMPOUNDVALUE(5)</f>
        <v>11677</v>
      </c>
    </row>
    <row r="6" spans="1:11" ht="24" customHeight="1">
      <c r="A6" s="178">
        <v>1</v>
      </c>
      <c r="B6" s="28" t="str">
        <f>_xlfn.COMPOUNDVALUE(6)</f>
        <v>5-9 ans</v>
      </c>
      <c r="C6" s="77">
        <v>22514</v>
      </c>
      <c r="D6" s="179">
        <v>-11560</v>
      </c>
      <c r="E6" s="179">
        <v>10954</v>
      </c>
      <c r="F6" s="77">
        <v>23323</v>
      </c>
      <c r="G6" s="179">
        <v>-11890</v>
      </c>
      <c r="H6" s="179">
        <v>11433</v>
      </c>
      <c r="I6" s="77">
        <f>_xlfn.COMPOUNDVALUE(8)</f>
        <v>22182</v>
      </c>
      <c r="J6" s="179">
        <f>_xlfn.COMPOUNDVALUE(7)</f>
        <v>-11376</v>
      </c>
      <c r="K6" s="179">
        <f>_xlfn.COMPOUNDVALUE(8)</f>
        <v>10806</v>
      </c>
    </row>
    <row r="7" spans="1:11" ht="24" customHeight="1">
      <c r="A7" s="180">
        <v>2</v>
      </c>
      <c r="B7" s="175" t="str">
        <f>_xlfn.COMPOUNDVALUE(9)</f>
        <v>10-14 ans</v>
      </c>
      <c r="C7" s="176">
        <v>22751</v>
      </c>
      <c r="D7" s="177">
        <v>-11697</v>
      </c>
      <c r="E7" s="177">
        <v>11054</v>
      </c>
      <c r="F7" s="176">
        <v>23889</v>
      </c>
      <c r="G7" s="177">
        <v>-12317</v>
      </c>
      <c r="H7" s="177">
        <v>11572</v>
      </c>
      <c r="I7" s="176">
        <f>_xlfn.COMPOUNDVALUE(11)</f>
        <v>20532</v>
      </c>
      <c r="J7" s="177">
        <f>_xlfn.COMPOUNDVALUE(10)</f>
        <v>-10526</v>
      </c>
      <c r="K7" s="177">
        <f>_xlfn.COMPOUNDVALUE(11)</f>
        <v>10006</v>
      </c>
    </row>
    <row r="8" spans="1:14" ht="24" customHeight="1">
      <c r="A8" s="178">
        <v>3</v>
      </c>
      <c r="B8" s="28" t="str">
        <f>_xlfn.COMPOUNDVALUE(12)</f>
        <v>15-19 ans</v>
      </c>
      <c r="C8" s="77">
        <v>22323</v>
      </c>
      <c r="D8" s="179">
        <v>-11484</v>
      </c>
      <c r="E8" s="179">
        <v>10839</v>
      </c>
      <c r="F8" s="77">
        <v>26329</v>
      </c>
      <c r="G8" s="179">
        <v>-13621</v>
      </c>
      <c r="H8" s="179">
        <v>12708</v>
      </c>
      <c r="I8" s="77">
        <f>_xlfn.COMPOUNDVALUE(14)</f>
        <v>20418</v>
      </c>
      <c r="J8" s="179">
        <f>_xlfn.COMPOUNDVALUE(13)</f>
        <v>-10504</v>
      </c>
      <c r="K8" s="179">
        <f>_xlfn.COMPOUNDVALUE(14)</f>
        <v>9914</v>
      </c>
      <c r="N8" s="32"/>
    </row>
    <row r="9" spans="1:14" ht="24" customHeight="1">
      <c r="A9" s="180">
        <v>4</v>
      </c>
      <c r="B9" s="175" t="str">
        <f>_xlfn.COMPOUNDVALUE(15)</f>
        <v>20-24 ans</v>
      </c>
      <c r="C9" s="176">
        <v>21666</v>
      </c>
      <c r="D9" s="177">
        <v>-11141</v>
      </c>
      <c r="E9" s="177">
        <v>10525</v>
      </c>
      <c r="F9" s="176">
        <v>23024</v>
      </c>
      <c r="G9" s="177">
        <v>-11444</v>
      </c>
      <c r="H9" s="177">
        <v>11580</v>
      </c>
      <c r="I9" s="176">
        <f>_xlfn.COMPOUNDVALUE(17)</f>
        <v>19309</v>
      </c>
      <c r="J9" s="177">
        <f>_xlfn.COMPOUNDVALUE(16)</f>
        <v>-10176</v>
      </c>
      <c r="K9" s="177">
        <f>_xlfn.COMPOUNDVALUE(17)</f>
        <v>9133</v>
      </c>
      <c r="N9" s="26"/>
    </row>
    <row r="10" spans="1:11" ht="24" customHeight="1">
      <c r="A10" s="178">
        <v>5</v>
      </c>
      <c r="B10" s="28" t="str">
        <f>_xlfn.COMPOUNDVALUE(18)</f>
        <v>25-29 ans</v>
      </c>
      <c r="C10" s="77">
        <v>23247</v>
      </c>
      <c r="D10" s="179">
        <v>-11836</v>
      </c>
      <c r="E10" s="179">
        <v>11411</v>
      </c>
      <c r="F10" s="77">
        <v>19148</v>
      </c>
      <c r="G10" s="179">
        <v>-9779</v>
      </c>
      <c r="H10" s="179">
        <v>9369</v>
      </c>
      <c r="I10" s="77">
        <f>_xlfn.COMPOUNDVALUE(20)</f>
        <v>16614</v>
      </c>
      <c r="J10" s="179">
        <f>_xlfn.COMPOUNDVALUE(19)</f>
        <v>-8735</v>
      </c>
      <c r="K10" s="179">
        <f>_xlfn.COMPOUNDVALUE(20)</f>
        <v>7879.000000000001</v>
      </c>
    </row>
    <row r="11" spans="1:11" ht="24" customHeight="1">
      <c r="A11" s="180">
        <v>6</v>
      </c>
      <c r="B11" s="175" t="str">
        <f>_xlfn.COMPOUNDVALUE(21)</f>
        <v>30-34 ans</v>
      </c>
      <c r="C11" s="176">
        <v>23782</v>
      </c>
      <c r="D11" s="177">
        <v>-12241</v>
      </c>
      <c r="E11" s="177">
        <v>11541</v>
      </c>
      <c r="F11" s="176">
        <v>20309</v>
      </c>
      <c r="G11" s="177">
        <v>-10325</v>
      </c>
      <c r="H11" s="177">
        <v>9984</v>
      </c>
      <c r="I11" s="176">
        <f>_xlfn.COMPOUNDVALUE(23)</f>
        <v>14560</v>
      </c>
      <c r="J11" s="177">
        <f>_xlfn.COMPOUNDVALUE(22)</f>
        <v>-7684</v>
      </c>
      <c r="K11" s="177">
        <f>_xlfn.COMPOUNDVALUE(23)</f>
        <v>6876</v>
      </c>
    </row>
    <row r="12" spans="1:11" ht="24" customHeight="1">
      <c r="A12" s="178">
        <v>7</v>
      </c>
      <c r="B12" s="28" t="str">
        <f>_xlfn.COMPOUNDVALUE(24)</f>
        <v>35-39 ans</v>
      </c>
      <c r="C12" s="77">
        <v>26162</v>
      </c>
      <c r="D12" s="179">
        <v>-13507</v>
      </c>
      <c r="E12" s="179">
        <v>12655</v>
      </c>
      <c r="F12" s="77">
        <v>21104</v>
      </c>
      <c r="G12" s="179">
        <v>-10946</v>
      </c>
      <c r="H12" s="179">
        <v>10158</v>
      </c>
      <c r="I12" s="77">
        <f>_xlfn.COMPOUNDVALUE(26)</f>
        <v>11699</v>
      </c>
      <c r="J12" s="179">
        <f>_xlfn.COMPOUNDVALUE(25)</f>
        <v>-6175</v>
      </c>
      <c r="K12" s="179">
        <f>_xlfn.COMPOUNDVALUE(26)</f>
        <v>5524</v>
      </c>
    </row>
    <row r="13" spans="1:11" ht="24" customHeight="1">
      <c r="A13" s="180">
        <v>8</v>
      </c>
      <c r="B13" s="175" t="str">
        <f>_xlfn.COMPOUNDVALUE(27)</f>
        <v>40-44 ans</v>
      </c>
      <c r="C13" s="176">
        <v>22815</v>
      </c>
      <c r="D13" s="177">
        <v>-11312</v>
      </c>
      <c r="E13" s="177">
        <v>11503</v>
      </c>
      <c r="F13" s="176">
        <v>19986</v>
      </c>
      <c r="G13" s="177">
        <v>-10338</v>
      </c>
      <c r="H13" s="177">
        <v>9648</v>
      </c>
      <c r="I13" s="176">
        <f>_xlfn.COMPOUNDVALUE(29)</f>
        <v>9681</v>
      </c>
      <c r="J13" s="177">
        <f>_xlfn.COMPOUNDVALUE(28)</f>
        <v>-5249</v>
      </c>
      <c r="K13" s="177">
        <f>_xlfn.COMPOUNDVALUE(29)</f>
        <v>4432</v>
      </c>
    </row>
    <row r="14" spans="1:11" ht="24" customHeight="1">
      <c r="A14" s="178">
        <v>9</v>
      </c>
      <c r="B14" s="28" t="str">
        <f>_xlfn.COMPOUNDVALUE(30)</f>
        <v>45-49 ans</v>
      </c>
      <c r="C14" s="77">
        <v>18860</v>
      </c>
      <c r="D14" s="179">
        <v>-9601</v>
      </c>
      <c r="E14" s="179">
        <v>9259</v>
      </c>
      <c r="F14" s="77">
        <v>15953</v>
      </c>
      <c r="G14" s="179">
        <v>-8341</v>
      </c>
      <c r="H14" s="179">
        <v>7612</v>
      </c>
      <c r="I14" s="77">
        <f>_xlfn.COMPOUNDVALUE(32)</f>
        <v>8206</v>
      </c>
      <c r="J14" s="179">
        <f>_xlfn.COMPOUNDVALUE(31)</f>
        <v>-4440</v>
      </c>
      <c r="K14" s="179">
        <f>_xlfn.COMPOUNDVALUE(32)</f>
        <v>3766.0000000000005</v>
      </c>
    </row>
    <row r="15" spans="1:11" ht="24" customHeight="1">
      <c r="A15" s="180">
        <v>10</v>
      </c>
      <c r="B15" s="175" t="str">
        <f>_xlfn.COMPOUNDVALUE(33)</f>
        <v>50-54 ans</v>
      </c>
      <c r="C15" s="176">
        <v>19764</v>
      </c>
      <c r="D15" s="177">
        <v>-9991</v>
      </c>
      <c r="E15" s="177">
        <v>9773</v>
      </c>
      <c r="F15" s="176">
        <v>13627</v>
      </c>
      <c r="G15" s="177">
        <v>-7173</v>
      </c>
      <c r="H15" s="177">
        <v>6454</v>
      </c>
      <c r="I15" s="176">
        <f>_xlfn.COMPOUNDVALUE(35)</f>
        <v>6660</v>
      </c>
      <c r="J15" s="177">
        <f>_xlfn.COMPOUNDVALUE(34)</f>
        <v>-3598</v>
      </c>
      <c r="K15" s="177">
        <f>_xlfn.COMPOUNDVALUE(35)</f>
        <v>3062</v>
      </c>
    </row>
    <row r="16" spans="1:11" ht="24" customHeight="1">
      <c r="A16" s="178">
        <v>11</v>
      </c>
      <c r="B16" s="28" t="str">
        <f>_xlfn.COMPOUNDVALUE(36)</f>
        <v>55-59 ans</v>
      </c>
      <c r="C16" s="77">
        <v>20086</v>
      </c>
      <c r="D16" s="179">
        <v>-10303</v>
      </c>
      <c r="E16" s="179">
        <v>9783</v>
      </c>
      <c r="F16" s="77">
        <v>9908</v>
      </c>
      <c r="G16" s="179">
        <v>-5109</v>
      </c>
      <c r="H16" s="179">
        <v>4799</v>
      </c>
      <c r="I16" s="77">
        <f>_xlfn.COMPOUNDVALUE(38)</f>
        <v>5213</v>
      </c>
      <c r="J16" s="179">
        <f>_xlfn.COMPOUNDVALUE(37)</f>
        <v>-2812</v>
      </c>
      <c r="K16" s="179">
        <f>_xlfn.COMPOUNDVALUE(38)</f>
        <v>2401</v>
      </c>
    </row>
    <row r="17" spans="1:11" ht="24" customHeight="1">
      <c r="A17" s="180">
        <v>12</v>
      </c>
      <c r="B17" s="175" t="str">
        <f>_xlfn.COMPOUNDVALUE(39)</f>
        <v>60-64 ans</v>
      </c>
      <c r="C17" s="176">
        <v>18308</v>
      </c>
      <c r="D17" s="177">
        <v>-9256</v>
      </c>
      <c r="E17" s="177">
        <v>9052</v>
      </c>
      <c r="F17" s="176">
        <v>7740</v>
      </c>
      <c r="G17" s="177">
        <v>-4040</v>
      </c>
      <c r="H17" s="177">
        <v>3700</v>
      </c>
      <c r="I17" s="176">
        <f>_xlfn.COMPOUNDVALUE(41)</f>
        <v>3822</v>
      </c>
      <c r="J17" s="177">
        <f>_xlfn.COMPOUNDVALUE(40)</f>
        <v>-1992</v>
      </c>
      <c r="K17" s="177">
        <f>_xlfn.COMPOUNDVALUE(41)</f>
        <v>1829.9999999999998</v>
      </c>
    </row>
    <row r="18" spans="1:11" ht="24" customHeight="1">
      <c r="A18" s="178">
        <v>13</v>
      </c>
      <c r="B18" s="28" t="str">
        <f>_xlfn.COMPOUNDVALUE(42)</f>
        <v>65-69 ans</v>
      </c>
      <c r="C18" s="77">
        <v>13645</v>
      </c>
      <c r="D18" s="179">
        <v>-6826</v>
      </c>
      <c r="E18" s="179">
        <v>6819</v>
      </c>
      <c r="F18" s="77">
        <v>5923</v>
      </c>
      <c r="G18" s="179">
        <v>-3055</v>
      </c>
      <c r="H18" s="179">
        <v>2868</v>
      </c>
      <c r="I18" s="77">
        <f>_xlfn.COMPOUNDVALUE(44)</f>
        <v>2406</v>
      </c>
      <c r="J18" s="179">
        <f>_xlfn.COMPOUNDVALUE(43)</f>
        <v>-1201</v>
      </c>
      <c r="K18" s="179">
        <f>_xlfn.COMPOUNDVALUE(44)</f>
        <v>1205</v>
      </c>
    </row>
    <row r="19" spans="1:11" ht="24" customHeight="1">
      <c r="A19" s="180">
        <v>14</v>
      </c>
      <c r="B19" s="175" t="str">
        <f>_xlfn.COMPOUNDVALUE(45)</f>
        <v>70-74 ans</v>
      </c>
      <c r="C19" s="176">
        <v>10349</v>
      </c>
      <c r="D19" s="177">
        <v>-5071</v>
      </c>
      <c r="E19" s="177">
        <v>5278</v>
      </c>
      <c r="F19" s="176">
        <v>4136</v>
      </c>
      <c r="G19" s="177">
        <v>-2060</v>
      </c>
      <c r="H19" s="177">
        <v>2076</v>
      </c>
      <c r="I19" s="176">
        <f>_xlfn.COMPOUNDVALUE(47)</f>
        <v>1760</v>
      </c>
      <c r="J19" s="177">
        <f>_xlfn.COMPOUNDVALUE(46)</f>
        <v>-834</v>
      </c>
      <c r="K19" s="177">
        <f>_xlfn.COMPOUNDVALUE(47)</f>
        <v>926</v>
      </c>
    </row>
    <row r="20" spans="1:11" ht="24" customHeight="1">
      <c r="A20" s="178">
        <v>15</v>
      </c>
      <c r="B20" s="28" t="str">
        <f>_xlfn.COMPOUNDVALUE(48)</f>
        <v>75-79 ans</v>
      </c>
      <c r="C20" s="77">
        <v>6434</v>
      </c>
      <c r="D20" s="179">
        <v>-2938</v>
      </c>
      <c r="E20" s="179">
        <v>3496</v>
      </c>
      <c r="F20" s="77">
        <v>2522</v>
      </c>
      <c r="G20" s="179">
        <v>-1179</v>
      </c>
      <c r="H20" s="179">
        <v>1343</v>
      </c>
      <c r="I20" s="77">
        <f>_xlfn.COMPOUNDVALUE(50)</f>
        <v>1114</v>
      </c>
      <c r="J20" s="179">
        <f>_xlfn.COMPOUNDVALUE(49)</f>
        <v>-534</v>
      </c>
      <c r="K20" s="179">
        <f>_xlfn.COMPOUNDVALUE(50)</f>
        <v>580</v>
      </c>
    </row>
    <row r="21" spans="1:11" ht="24" customHeight="1">
      <c r="A21" s="181">
        <v>16</v>
      </c>
      <c r="B21" s="175" t="str">
        <f>_xlfn.COMPOUNDVALUE(51)</f>
        <v>80 ans et plus</v>
      </c>
      <c r="C21" s="176">
        <v>6141</v>
      </c>
      <c r="D21" s="177">
        <v>-2559</v>
      </c>
      <c r="E21" s="177">
        <v>3582</v>
      </c>
      <c r="F21" s="176">
        <v>2069</v>
      </c>
      <c r="G21" s="177">
        <v>-816</v>
      </c>
      <c r="H21" s="177">
        <v>1253</v>
      </c>
      <c r="I21" s="176">
        <f>_xlfn.COMPOUNDVALUE(53)</f>
        <v>742</v>
      </c>
      <c r="J21" s="177">
        <f>_xlfn.COMPOUNDVALUE(52)</f>
        <v>-290</v>
      </c>
      <c r="K21" s="177">
        <f>_xlfn.COMPOUNDVALUE(53)</f>
        <v>452</v>
      </c>
    </row>
    <row r="22" spans="1:11" ht="24" customHeight="1">
      <c r="A22" s="182"/>
      <c r="B22" s="29" t="s">
        <v>40</v>
      </c>
      <c r="C22" s="183">
        <v>320605</v>
      </c>
      <c r="D22" s="184">
        <v>-162479</v>
      </c>
      <c r="E22" s="184">
        <v>158126</v>
      </c>
      <c r="F22" s="183">
        <v>260740</v>
      </c>
      <c r="G22" s="184">
        <v>-133626</v>
      </c>
      <c r="H22" s="184">
        <v>127114</v>
      </c>
      <c r="I22" s="183">
        <v>188814</v>
      </c>
      <c r="J22" s="184">
        <v>-98345</v>
      </c>
      <c r="K22" s="184">
        <v>90469</v>
      </c>
    </row>
    <row r="24" spans="4:11" ht="12.75">
      <c r="D24" s="25"/>
      <c r="E24" s="25"/>
      <c r="F24" s="25"/>
      <c r="G24" s="25"/>
      <c r="H24" s="25"/>
      <c r="I24" s="25"/>
      <c r="J24" s="25"/>
      <c r="K24" s="25"/>
    </row>
    <row r="31" ht="15">
      <c r="L31"/>
    </row>
    <row r="32" ht="15">
      <c r="L32"/>
    </row>
    <row r="33" ht="15">
      <c r="L33"/>
    </row>
    <row r="34" ht="15">
      <c r="L34"/>
    </row>
    <row r="35" ht="15">
      <c r="L35"/>
    </row>
    <row r="36" ht="15">
      <c r="L36"/>
    </row>
    <row r="37" ht="15">
      <c r="L37"/>
    </row>
    <row r="38" ht="15">
      <c r="L38"/>
    </row>
    <row r="39" ht="15">
      <c r="L39"/>
    </row>
    <row r="40" ht="15">
      <c r="L40"/>
    </row>
    <row r="41" ht="15">
      <c r="L41"/>
    </row>
    <row r="42" ht="15">
      <c r="L42"/>
    </row>
    <row r="43" ht="15">
      <c r="L43"/>
    </row>
    <row r="44" ht="15">
      <c r="L44"/>
    </row>
    <row r="45" ht="15">
      <c r="L45"/>
    </row>
    <row r="46" ht="15">
      <c r="L46"/>
    </row>
    <row r="47" ht="15">
      <c r="L47"/>
    </row>
    <row r="48" ht="15">
      <c r="L48"/>
    </row>
    <row r="49" ht="15">
      <c r="L49"/>
    </row>
  </sheetData>
  <sheetProtection/>
  <mergeCells count="3">
    <mergeCell ref="C3:E3"/>
    <mergeCell ref="F3:H3"/>
    <mergeCell ref="I3:K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28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2.00390625" style="20" bestFit="1" customWidth="1"/>
    <col min="2" max="2" width="12.140625" style="20" customWidth="1"/>
    <col min="3" max="3" width="10.8515625" style="20" customWidth="1"/>
    <col min="4" max="4" width="12.421875" style="20" bestFit="1" customWidth="1"/>
    <col min="5" max="5" width="11.7109375" style="20" bestFit="1" customWidth="1"/>
    <col min="6" max="6" width="10.00390625" style="20" customWidth="1"/>
    <col min="7" max="7" width="7.7109375" style="20" bestFit="1" customWidth="1"/>
    <col min="8" max="8" width="10.00390625" style="20" customWidth="1"/>
    <col min="9" max="9" width="7.7109375" style="20" bestFit="1" customWidth="1"/>
    <col min="10" max="11" width="11.421875" style="20" customWidth="1"/>
    <col min="12" max="12" width="16.00390625" style="20" customWidth="1"/>
    <col min="13" max="16384" width="11.421875" style="20" customWidth="1"/>
  </cols>
  <sheetData>
    <row r="1" ht="28.5">
      <c r="A1" s="19" t="s">
        <v>50</v>
      </c>
    </row>
    <row r="2" spans="1:4" ht="25.5" customHeight="1">
      <c r="A2" s="185" t="s">
        <v>49</v>
      </c>
      <c r="B2" s="30" t="s">
        <v>48</v>
      </c>
      <c r="C2" s="31" t="s">
        <v>47</v>
      </c>
      <c r="D2" s="30" t="s">
        <v>46</v>
      </c>
    </row>
    <row r="3" spans="1:13" ht="25.5" customHeight="1">
      <c r="A3" s="186" t="s">
        <v>42</v>
      </c>
      <c r="B3" s="81">
        <v>87028</v>
      </c>
      <c r="C3" s="78">
        <v>95291</v>
      </c>
      <c r="D3" s="81">
        <v>89346</v>
      </c>
      <c r="E3" s="25"/>
      <c r="F3" s="25"/>
      <c r="G3" s="25"/>
      <c r="H3" s="25"/>
      <c r="I3" s="25"/>
      <c r="J3" s="25"/>
      <c r="K3" s="25"/>
      <c r="L3" s="25"/>
      <c r="M3" s="25"/>
    </row>
    <row r="4" spans="1:4" ht="25.5" customHeight="1">
      <c r="A4" s="187" t="s">
        <v>43</v>
      </c>
      <c r="B4" s="82">
        <v>91942</v>
      </c>
      <c r="C4" s="79">
        <v>143059</v>
      </c>
      <c r="D4" s="82">
        <v>176382</v>
      </c>
    </row>
    <row r="5" spans="1:4" ht="25.5" customHeight="1">
      <c r="A5" s="186" t="s">
        <v>44</v>
      </c>
      <c r="B5" s="81">
        <v>9844</v>
      </c>
      <c r="C5" s="78">
        <v>22390</v>
      </c>
      <c r="D5" s="81">
        <v>54877</v>
      </c>
    </row>
    <row r="6" spans="1:4" ht="25.5" customHeight="1">
      <c r="A6" s="187" t="s">
        <v>40</v>
      </c>
      <c r="B6" s="83">
        <v>188814</v>
      </c>
      <c r="C6" s="80">
        <v>260740</v>
      </c>
      <c r="D6" s="83">
        <v>320605</v>
      </c>
    </row>
    <row r="10" spans="10:12" ht="15">
      <c r="J10"/>
      <c r="K10"/>
      <c r="L10"/>
    </row>
    <row r="11" spans="10:12" ht="15">
      <c r="J11"/>
      <c r="K11"/>
      <c r="L11"/>
    </row>
    <row r="12" spans="10:12" ht="15">
      <c r="J12"/>
      <c r="K12"/>
      <c r="L12"/>
    </row>
    <row r="13" spans="10:12" ht="15">
      <c r="J13"/>
      <c r="K13"/>
      <c r="L13"/>
    </row>
    <row r="14" spans="10:12" ht="15">
      <c r="J14"/>
      <c r="K14"/>
      <c r="L14"/>
    </row>
    <row r="15" spans="10:12" ht="15">
      <c r="J15"/>
      <c r="K15"/>
      <c r="L15"/>
    </row>
    <row r="16" spans="10:12" ht="15">
      <c r="J16"/>
      <c r="K16"/>
      <c r="L16"/>
    </row>
    <row r="17" spans="10:12" ht="15">
      <c r="J17"/>
      <c r="K17"/>
      <c r="L17"/>
    </row>
    <row r="18" spans="10:12" ht="15">
      <c r="J18"/>
      <c r="K18"/>
      <c r="L18"/>
    </row>
    <row r="19" spans="10:12" ht="15">
      <c r="J19"/>
      <c r="K19"/>
      <c r="L19"/>
    </row>
    <row r="20" spans="10:12" ht="15">
      <c r="J20"/>
      <c r="K20"/>
      <c r="L20"/>
    </row>
    <row r="21" spans="10:12" ht="15">
      <c r="J21"/>
      <c r="K21"/>
      <c r="L21"/>
    </row>
    <row r="22" spans="10:12" ht="15">
      <c r="J22"/>
      <c r="K22"/>
      <c r="L22"/>
    </row>
    <row r="23" spans="10:12" ht="15">
      <c r="J23"/>
      <c r="K23"/>
      <c r="L23"/>
    </row>
    <row r="24" spans="10:12" ht="15">
      <c r="J24"/>
      <c r="K24"/>
      <c r="L24"/>
    </row>
    <row r="25" spans="10:12" ht="15">
      <c r="J25"/>
      <c r="K25"/>
      <c r="L25"/>
    </row>
    <row r="26" spans="10:12" ht="15">
      <c r="J26"/>
      <c r="K26"/>
      <c r="L26"/>
    </row>
    <row r="27" spans="10:12" ht="15">
      <c r="J27"/>
      <c r="K27"/>
      <c r="L27"/>
    </row>
    <row r="28" spans="10:12" ht="15">
      <c r="J28"/>
      <c r="K28"/>
      <c r="L2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P31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1" width="8.57421875" style="0" customWidth="1"/>
    <col min="2" max="2" width="12.8515625" style="0" bestFit="1" customWidth="1"/>
    <col min="3" max="3" width="17.28125" style="0" customWidth="1"/>
    <col min="4" max="4" width="23.8515625" style="0" customWidth="1"/>
    <col min="5" max="5" width="12.8515625" style="0" bestFit="1" customWidth="1"/>
    <col min="6" max="6" width="15.00390625" style="0" customWidth="1"/>
    <col min="7" max="7" width="16.140625" style="0" customWidth="1"/>
  </cols>
  <sheetData>
    <row r="1" ht="28.5">
      <c r="A1" s="19" t="s">
        <v>54</v>
      </c>
    </row>
    <row r="2" spans="1:7" s="1" customFormat="1" ht="64.5" customHeight="1">
      <c r="A2" s="84" t="s">
        <v>58</v>
      </c>
      <c r="B2" s="85" t="s">
        <v>77</v>
      </c>
      <c r="C2" s="85" t="s">
        <v>78</v>
      </c>
      <c r="D2" s="85" t="s">
        <v>53</v>
      </c>
      <c r="E2" s="85" t="s">
        <v>79</v>
      </c>
      <c r="F2" s="85" t="s">
        <v>80</v>
      </c>
      <c r="G2" s="149" t="s">
        <v>52</v>
      </c>
    </row>
    <row r="3" spans="1:7" ht="15">
      <c r="A3" s="86">
        <v>28490</v>
      </c>
      <c r="B3" s="87">
        <v>60887</v>
      </c>
      <c r="C3" s="87">
        <v>1945</v>
      </c>
      <c r="D3" s="87">
        <v>31.94442163351783</v>
      </c>
      <c r="E3" s="87">
        <v>58197</v>
      </c>
      <c r="F3" s="87">
        <v>3750</v>
      </c>
      <c r="G3" s="188">
        <v>64.43631115005928</v>
      </c>
    </row>
    <row r="4" spans="1:7" ht="15">
      <c r="A4" s="88">
        <v>32508</v>
      </c>
      <c r="B4" s="89">
        <v>95764</v>
      </c>
      <c r="C4" s="89">
        <v>6022</v>
      </c>
      <c r="D4" s="89">
        <v>62.88375589992064</v>
      </c>
      <c r="E4" s="89">
        <v>91942</v>
      </c>
      <c r="F4" s="89">
        <v>9844</v>
      </c>
      <c r="G4" s="189">
        <v>107.06749907550413</v>
      </c>
    </row>
    <row r="5" spans="1:7" ht="15">
      <c r="A5" s="86">
        <v>35430</v>
      </c>
      <c r="B5" s="87">
        <v>117827</v>
      </c>
      <c r="C5" s="87">
        <v>8388</v>
      </c>
      <c r="D5" s="87">
        <v>71.18911624670066</v>
      </c>
      <c r="E5" s="87">
        <v>112548</v>
      </c>
      <c r="F5" s="87">
        <v>13667</v>
      </c>
      <c r="G5" s="188">
        <v>121.43263318761772</v>
      </c>
    </row>
    <row r="6" spans="1:16" ht="15">
      <c r="A6" s="88">
        <v>37621</v>
      </c>
      <c r="B6" s="89">
        <v>135715</v>
      </c>
      <c r="C6" s="89">
        <v>11292</v>
      </c>
      <c r="D6" s="89">
        <v>83.2037726117231</v>
      </c>
      <c r="E6" s="89">
        <v>129167</v>
      </c>
      <c r="F6" s="89">
        <v>17840</v>
      </c>
      <c r="G6" s="189">
        <v>138.1157726044578</v>
      </c>
      <c r="P6" s="2"/>
    </row>
    <row r="7" spans="1:7" ht="15">
      <c r="A7" s="86">
        <v>39447</v>
      </c>
      <c r="B7" s="87">
        <v>150799</v>
      </c>
      <c r="C7" s="87">
        <v>14650</v>
      </c>
      <c r="D7" s="87">
        <v>97.14918533942533</v>
      </c>
      <c r="E7" s="87">
        <v>143059</v>
      </c>
      <c r="F7" s="87">
        <v>22390</v>
      </c>
      <c r="G7" s="188">
        <v>156.5088529907241</v>
      </c>
    </row>
    <row r="8" spans="1:7" ht="15">
      <c r="A8" s="88">
        <v>39813</v>
      </c>
      <c r="B8" s="89">
        <v>154090</v>
      </c>
      <c r="C8" s="89">
        <v>15259</v>
      </c>
      <c r="D8" s="89">
        <v>99.02654292945681</v>
      </c>
      <c r="E8" s="89">
        <v>146111</v>
      </c>
      <c r="F8" s="89">
        <v>23238</v>
      </c>
      <c r="G8" s="189">
        <v>159.0434669532068</v>
      </c>
    </row>
    <row r="9" spans="1:7" ht="15">
      <c r="A9" s="86">
        <v>40178</v>
      </c>
      <c r="B9" s="87">
        <v>157501</v>
      </c>
      <c r="C9" s="87">
        <v>15911</v>
      </c>
      <c r="D9" s="87">
        <v>101.02158081535991</v>
      </c>
      <c r="E9" s="87">
        <v>149272</v>
      </c>
      <c r="F9" s="87">
        <v>24140</v>
      </c>
      <c r="G9" s="188">
        <v>161.71820569162335</v>
      </c>
    </row>
    <row r="10" spans="1:7" ht="15">
      <c r="A10" s="88">
        <v>40543</v>
      </c>
      <c r="B10" s="89">
        <v>160932</v>
      </c>
      <c r="C10" s="89">
        <v>16587</v>
      </c>
      <c r="D10" s="89">
        <v>103.06837670568936</v>
      </c>
      <c r="E10" s="89">
        <v>152416</v>
      </c>
      <c r="F10" s="89">
        <v>25103</v>
      </c>
      <c r="G10" s="189">
        <v>164.70055637203444</v>
      </c>
    </row>
    <row r="11" spans="1:7" ht="15">
      <c r="A11" s="86">
        <v>40908</v>
      </c>
      <c r="B11" s="87">
        <v>164262</v>
      </c>
      <c r="C11" s="87">
        <v>17285</v>
      </c>
      <c r="D11" s="87">
        <v>105.22823294492945</v>
      </c>
      <c r="E11" s="87">
        <v>155383</v>
      </c>
      <c r="F11" s="87">
        <v>26164</v>
      </c>
      <c r="G11" s="188">
        <v>168.38392874381367</v>
      </c>
    </row>
    <row r="12" spans="1:7" ht="15">
      <c r="A12" s="88">
        <v>41274</v>
      </c>
      <c r="B12" s="89">
        <v>167400</v>
      </c>
      <c r="C12" s="89">
        <v>18007</v>
      </c>
      <c r="D12" s="89">
        <v>107.56869772998805</v>
      </c>
      <c r="E12" s="89">
        <v>158061</v>
      </c>
      <c r="F12" s="89">
        <v>27345</v>
      </c>
      <c r="G12" s="189">
        <v>173.00282802209273</v>
      </c>
    </row>
    <row r="13" spans="1:16" ht="15">
      <c r="A13" s="86">
        <v>41639</v>
      </c>
      <c r="B13" s="87">
        <v>170306</v>
      </c>
      <c r="C13" s="87">
        <v>18750</v>
      </c>
      <c r="D13" s="87">
        <v>110.09594494615574</v>
      </c>
      <c r="E13" s="87">
        <v>160395</v>
      </c>
      <c r="F13" s="87">
        <v>28661</v>
      </c>
      <c r="G13" s="188">
        <v>178.69010879391504</v>
      </c>
      <c r="P13" s="33"/>
    </row>
    <row r="14" spans="1:16" ht="15">
      <c r="A14" s="88">
        <v>42004</v>
      </c>
      <c r="B14" s="89">
        <v>172992</v>
      </c>
      <c r="C14" s="89">
        <v>19523</v>
      </c>
      <c r="D14" s="89">
        <v>112.85492970773214</v>
      </c>
      <c r="E14" s="89">
        <v>162413</v>
      </c>
      <c r="F14" s="89">
        <v>30103</v>
      </c>
      <c r="G14" s="189">
        <v>185.34846348506585</v>
      </c>
      <c r="P14" s="34"/>
    </row>
    <row r="15" spans="1:7" ht="15">
      <c r="A15" s="86">
        <v>42369</v>
      </c>
      <c r="B15" s="87">
        <v>175477</v>
      </c>
      <c r="C15" s="87">
        <v>20354</v>
      </c>
      <c r="D15" s="87">
        <v>115.99240926161264</v>
      </c>
      <c r="E15" s="87">
        <v>164195</v>
      </c>
      <c r="F15" s="87">
        <v>31637</v>
      </c>
      <c r="G15" s="188">
        <v>192.6794360364201</v>
      </c>
    </row>
    <row r="16" spans="1:7" ht="15">
      <c r="A16" s="88">
        <v>42735</v>
      </c>
      <c r="B16" s="89">
        <v>177806</v>
      </c>
      <c r="C16" s="89">
        <v>21276</v>
      </c>
      <c r="D16" s="89">
        <v>119.65850421245628</v>
      </c>
      <c r="E16" s="89">
        <v>165865</v>
      </c>
      <c r="F16" s="89">
        <v>33217</v>
      </c>
      <c r="G16" s="189">
        <v>200.26527597745152</v>
      </c>
    </row>
    <row r="17" spans="1:7" ht="15">
      <c r="A17" s="86">
        <v>43100</v>
      </c>
      <c r="B17" s="87">
        <v>180009</v>
      </c>
      <c r="C17" s="87">
        <v>22309</v>
      </c>
      <c r="D17" s="87">
        <v>123.93269225427618</v>
      </c>
      <c r="E17" s="87">
        <v>167504</v>
      </c>
      <c r="F17" s="87">
        <v>34814</v>
      </c>
      <c r="G17" s="188">
        <v>207.83981278059034</v>
      </c>
    </row>
    <row r="18" spans="1:7" ht="15">
      <c r="A18" s="88">
        <v>43465</v>
      </c>
      <c r="B18" s="89">
        <v>182090</v>
      </c>
      <c r="C18" s="89">
        <v>23468</v>
      </c>
      <c r="D18" s="89">
        <v>128.88132242297763</v>
      </c>
      <c r="E18" s="89">
        <v>169144</v>
      </c>
      <c r="F18" s="89">
        <v>36413</v>
      </c>
      <c r="G18" s="189">
        <v>215.27810622901197</v>
      </c>
    </row>
    <row r="19" spans="1:9" ht="15">
      <c r="A19" s="86">
        <v>43830</v>
      </c>
      <c r="B19" s="87">
        <v>184036</v>
      </c>
      <c r="C19" s="87">
        <v>24741</v>
      </c>
      <c r="D19" s="87">
        <v>134.4356538938034</v>
      </c>
      <c r="E19" s="87">
        <v>170747</v>
      </c>
      <c r="F19" s="87">
        <v>38030</v>
      </c>
      <c r="G19" s="188">
        <v>222.72719286429628</v>
      </c>
      <c r="I19" s="35"/>
    </row>
    <row r="20" spans="1:7" ht="15">
      <c r="A20" s="88">
        <v>44196</v>
      </c>
      <c r="B20" s="89">
        <v>185844</v>
      </c>
      <c r="C20" s="89">
        <v>26098</v>
      </c>
      <c r="D20" s="89">
        <v>140.42960762790295</v>
      </c>
      <c r="E20" s="89">
        <v>172236</v>
      </c>
      <c r="F20" s="89">
        <v>39707</v>
      </c>
      <c r="G20" s="189">
        <v>230.5383311270582</v>
      </c>
    </row>
    <row r="21" spans="1:7" ht="15">
      <c r="A21" s="86">
        <v>44561</v>
      </c>
      <c r="B21" s="87">
        <v>187516</v>
      </c>
      <c r="C21" s="87">
        <v>27497</v>
      </c>
      <c r="D21" s="87">
        <v>146.6381535442309</v>
      </c>
      <c r="E21" s="87">
        <v>173514</v>
      </c>
      <c r="F21" s="87">
        <v>41499</v>
      </c>
      <c r="G21" s="188">
        <v>239.16802102424012</v>
      </c>
    </row>
    <row r="22" spans="1:7" ht="15">
      <c r="A22" s="88">
        <v>44926</v>
      </c>
      <c r="B22" s="89">
        <v>189049</v>
      </c>
      <c r="C22" s="89">
        <v>28909</v>
      </c>
      <c r="D22" s="89">
        <v>152.91802654338292</v>
      </c>
      <c r="E22" s="89">
        <v>174515</v>
      </c>
      <c r="F22" s="89">
        <v>43443</v>
      </c>
      <c r="G22" s="189">
        <v>248.9356215798069</v>
      </c>
    </row>
    <row r="23" spans="1:7" ht="15">
      <c r="A23" s="86">
        <v>45291</v>
      </c>
      <c r="B23" s="87">
        <v>190354</v>
      </c>
      <c r="C23" s="87">
        <v>30321</v>
      </c>
      <c r="D23" s="87">
        <v>159.28743288819777</v>
      </c>
      <c r="E23" s="87">
        <v>175128</v>
      </c>
      <c r="F23" s="87">
        <v>45547</v>
      </c>
      <c r="G23" s="188">
        <v>260.0783426979124</v>
      </c>
    </row>
    <row r="24" spans="1:7" ht="15">
      <c r="A24" s="88">
        <v>45657</v>
      </c>
      <c r="B24" s="89">
        <v>191615</v>
      </c>
      <c r="C24" s="89">
        <v>31749</v>
      </c>
      <c r="D24" s="89">
        <v>165.69162121963313</v>
      </c>
      <c r="E24" s="89">
        <v>175578</v>
      </c>
      <c r="F24" s="89">
        <v>47786</v>
      </c>
      <c r="G24" s="189">
        <v>272.16393853444055</v>
      </c>
    </row>
    <row r="25" spans="1:7" ht="15">
      <c r="A25" s="86">
        <v>46022</v>
      </c>
      <c r="B25" s="87">
        <v>192790</v>
      </c>
      <c r="C25" s="87">
        <v>33233</v>
      </c>
      <c r="D25" s="87">
        <v>172.37927278385808</v>
      </c>
      <c r="E25" s="87">
        <v>175903</v>
      </c>
      <c r="F25" s="87">
        <v>50121</v>
      </c>
      <c r="G25" s="188">
        <v>284.93544737724767</v>
      </c>
    </row>
    <row r="26" spans="1:7" ht="15">
      <c r="A26" s="88">
        <v>46387</v>
      </c>
      <c r="B26" s="89">
        <v>193826</v>
      </c>
      <c r="C26" s="89">
        <v>34829</v>
      </c>
      <c r="D26" s="89">
        <v>179.69209497177883</v>
      </c>
      <c r="E26" s="89">
        <v>176156</v>
      </c>
      <c r="F26" s="89">
        <v>52498</v>
      </c>
      <c r="G26" s="189">
        <v>298.0199368741343</v>
      </c>
    </row>
    <row r="27" spans="1:7" ht="15">
      <c r="A27" s="86">
        <v>46752</v>
      </c>
      <c r="B27" s="87">
        <v>194689</v>
      </c>
      <c r="C27" s="87">
        <v>36569</v>
      </c>
      <c r="D27" s="87">
        <v>187.83290273204958</v>
      </c>
      <c r="E27" s="87">
        <v>176380</v>
      </c>
      <c r="F27" s="87">
        <v>54877</v>
      </c>
      <c r="G27" s="188">
        <v>311.12937974827076</v>
      </c>
    </row>
    <row r="28" spans="1:7" ht="15">
      <c r="A28" s="88">
        <v>47118</v>
      </c>
      <c r="B28" s="89">
        <v>195426</v>
      </c>
      <c r="C28" s="89">
        <v>38447</v>
      </c>
      <c r="D28" s="89">
        <v>196.73431375559036</v>
      </c>
      <c r="E28" s="89">
        <v>176647</v>
      </c>
      <c r="F28" s="89">
        <v>57227</v>
      </c>
      <c r="G28" s="189">
        <v>323.9624788419843</v>
      </c>
    </row>
    <row r="29" spans="1:7" ht="15">
      <c r="A29" s="86">
        <v>47483</v>
      </c>
      <c r="B29" s="87">
        <v>196022</v>
      </c>
      <c r="C29" s="87">
        <v>40422</v>
      </c>
      <c r="D29" s="87">
        <v>206.21154768342328</v>
      </c>
      <c r="E29" s="87">
        <v>176918</v>
      </c>
      <c r="F29" s="87">
        <v>59526</v>
      </c>
      <c r="G29" s="188">
        <v>336.4609593144847</v>
      </c>
    </row>
    <row r="30" spans="1:7" ht="15.75" thickBot="1">
      <c r="A30" s="190">
        <v>47848</v>
      </c>
      <c r="B30" s="191">
        <v>196510</v>
      </c>
      <c r="C30" s="191">
        <v>42453</v>
      </c>
      <c r="D30" s="191">
        <v>216.03480738893697</v>
      </c>
      <c r="E30" s="191">
        <v>177211</v>
      </c>
      <c r="F30" s="191">
        <v>61752</v>
      </c>
      <c r="G30" s="192">
        <v>348.4659530164606</v>
      </c>
    </row>
    <row r="31" spans="1:7" ht="15.75" thickTop="1">
      <c r="A31" s="193"/>
      <c r="B31" s="194"/>
      <c r="C31" s="194"/>
      <c r="D31" s="195"/>
      <c r="E31" s="196"/>
      <c r="F31" s="194"/>
      <c r="G31" s="19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53"/>
  <sheetViews>
    <sheetView zoomScalePageLayoutView="0" workbookViewId="0" topLeftCell="A1">
      <selection activeCell="C16" sqref="C16"/>
    </sheetView>
  </sheetViews>
  <sheetFormatPr defaultColWidth="11.421875" defaultRowHeight="15"/>
  <cols>
    <col min="1" max="1" width="13.7109375" style="0" customWidth="1"/>
    <col min="2" max="2" width="14.00390625" style="0" customWidth="1"/>
    <col min="3" max="3" width="16.28125" style="0" customWidth="1"/>
    <col min="4" max="4" width="15.7109375" style="0" customWidth="1"/>
    <col min="7" max="7" width="9.28125" style="0" customWidth="1"/>
  </cols>
  <sheetData>
    <row r="1" spans="1:4" ht="105.75" customHeight="1">
      <c r="A1" s="234" t="s">
        <v>62</v>
      </c>
      <c r="B1" s="234"/>
      <c r="C1" s="234"/>
      <c r="D1" s="234"/>
    </row>
    <row r="2" spans="1:4" ht="56.25" customHeight="1">
      <c r="A2" s="198" t="s">
        <v>58</v>
      </c>
      <c r="B2" s="199" t="s">
        <v>59</v>
      </c>
      <c r="C2" s="85" t="s">
        <v>60</v>
      </c>
      <c r="D2" s="149" t="s">
        <v>61</v>
      </c>
    </row>
    <row r="3" spans="1:4" ht="15">
      <c r="A3" s="200">
        <v>28490</v>
      </c>
      <c r="B3" s="87">
        <v>4393</v>
      </c>
      <c r="C3" s="87">
        <v>72765</v>
      </c>
      <c r="D3" s="188">
        <v>23545</v>
      </c>
    </row>
    <row r="4" spans="1:4" ht="15">
      <c r="A4" s="201">
        <v>28855</v>
      </c>
      <c r="B4" s="202">
        <v>4272</v>
      </c>
      <c r="C4" s="202" t="e">
        <v>#N/A</v>
      </c>
      <c r="D4" s="203" t="e">
        <v>#N/A</v>
      </c>
    </row>
    <row r="5" spans="1:4" ht="15">
      <c r="A5" s="200">
        <v>29220</v>
      </c>
      <c r="B5" s="87">
        <v>4331</v>
      </c>
      <c r="C5" s="87" t="e">
        <v>#N/A</v>
      </c>
      <c r="D5" s="188" t="e">
        <v>#N/A</v>
      </c>
    </row>
    <row r="6" spans="1:4" ht="15">
      <c r="A6" s="201">
        <v>29586</v>
      </c>
      <c r="B6" s="202">
        <v>4544</v>
      </c>
      <c r="C6" s="202" t="e">
        <v>#N/A</v>
      </c>
      <c r="D6" s="203" t="e">
        <v>#N/A</v>
      </c>
    </row>
    <row r="7" spans="1:4" ht="15">
      <c r="A7" s="200">
        <v>29951</v>
      </c>
      <c r="B7" s="87">
        <v>4771</v>
      </c>
      <c r="C7" s="87" t="e">
        <v>#N/A</v>
      </c>
      <c r="D7" s="188" t="e">
        <v>#N/A</v>
      </c>
    </row>
    <row r="8" spans="1:4" ht="15">
      <c r="A8" s="201">
        <v>30316</v>
      </c>
      <c r="B8" s="202">
        <v>4818</v>
      </c>
      <c r="C8" s="202" t="e">
        <v>#N/A</v>
      </c>
      <c r="D8" s="203" t="e">
        <v>#N/A</v>
      </c>
    </row>
    <row r="9" spans="1:4" ht="15">
      <c r="A9" s="200">
        <v>30681</v>
      </c>
      <c r="B9" s="87">
        <v>5008</v>
      </c>
      <c r="C9" s="87" t="e">
        <v>#N/A</v>
      </c>
      <c r="D9" s="188" t="e">
        <v>#N/A</v>
      </c>
    </row>
    <row r="10" spans="1:4" ht="15">
      <c r="A10" s="201">
        <v>31047</v>
      </c>
      <c r="B10" s="202">
        <v>5205</v>
      </c>
      <c r="C10" s="202" t="e">
        <v>#N/A</v>
      </c>
      <c r="D10" s="203" t="e">
        <v>#N/A</v>
      </c>
    </row>
    <row r="11" spans="1:4" ht="15">
      <c r="A11" s="200">
        <v>31412</v>
      </c>
      <c r="B11" s="87">
        <v>5419</v>
      </c>
      <c r="C11" s="87" t="e">
        <v>#N/A</v>
      </c>
      <c r="D11" s="188" t="e">
        <v>#N/A</v>
      </c>
    </row>
    <row r="12" spans="1:4" ht="15">
      <c r="A12" s="201">
        <v>31777</v>
      </c>
      <c r="B12" s="202">
        <v>5411</v>
      </c>
      <c r="C12" s="202" t="e">
        <v>#N/A</v>
      </c>
      <c r="D12" s="203" t="e">
        <v>#N/A</v>
      </c>
    </row>
    <row r="13" spans="1:4" ht="15">
      <c r="A13" s="200">
        <v>32142</v>
      </c>
      <c r="B13" s="87">
        <v>5411</v>
      </c>
      <c r="C13" s="87" t="e">
        <v>#N/A</v>
      </c>
      <c r="D13" s="188" t="e">
        <v>#N/A</v>
      </c>
    </row>
    <row r="14" spans="1:4" ht="15">
      <c r="A14" s="201">
        <v>32508</v>
      </c>
      <c r="B14" s="202">
        <v>5800</v>
      </c>
      <c r="C14" s="202">
        <v>87028</v>
      </c>
      <c r="D14" s="203">
        <v>37610</v>
      </c>
    </row>
    <row r="15" spans="1:4" ht="15">
      <c r="A15" s="200">
        <v>32873</v>
      </c>
      <c r="B15" s="87">
        <v>5508</v>
      </c>
      <c r="C15" s="87" t="e">
        <v>#N/A</v>
      </c>
      <c r="D15" s="188" t="e">
        <v>#N/A</v>
      </c>
    </row>
    <row r="16" spans="1:4" ht="15">
      <c r="A16" s="201">
        <v>33238</v>
      </c>
      <c r="B16" s="202">
        <v>5570</v>
      </c>
      <c r="C16" s="202" t="e">
        <v>#N/A</v>
      </c>
      <c r="D16" s="203" t="e">
        <v>#N/A</v>
      </c>
    </row>
    <row r="17" spans="1:4" ht="15">
      <c r="A17" s="200">
        <v>33603</v>
      </c>
      <c r="B17" s="87">
        <v>5401</v>
      </c>
      <c r="C17" s="87" t="e">
        <v>#N/A</v>
      </c>
      <c r="D17" s="188" t="e">
        <v>#N/A</v>
      </c>
    </row>
    <row r="18" spans="1:4" ht="15">
      <c r="A18" s="201">
        <v>33969</v>
      </c>
      <c r="B18" s="202">
        <v>5310</v>
      </c>
      <c r="C18" s="202" t="e">
        <v>#N/A</v>
      </c>
      <c r="D18" s="203" t="e">
        <v>#N/A</v>
      </c>
    </row>
    <row r="19" spans="1:4" ht="15">
      <c r="A19" s="200">
        <v>34334</v>
      </c>
      <c r="B19" s="87">
        <v>5299</v>
      </c>
      <c r="C19" s="87" t="e">
        <v>#N/A</v>
      </c>
      <c r="D19" s="188" t="e">
        <v>#N/A</v>
      </c>
    </row>
    <row r="20" spans="1:4" ht="15">
      <c r="A20" s="201">
        <v>34699</v>
      </c>
      <c r="B20" s="202">
        <v>5110</v>
      </c>
      <c r="C20" s="202" t="e">
        <v>#N/A</v>
      </c>
      <c r="D20" s="203" t="e">
        <v>#N/A</v>
      </c>
    </row>
    <row r="21" spans="1:4" ht="15">
      <c r="A21" s="200">
        <v>35064</v>
      </c>
      <c r="B21" s="87">
        <v>4904</v>
      </c>
      <c r="C21" s="87" t="e">
        <v>#N/A</v>
      </c>
      <c r="D21" s="188" t="e">
        <v>#N/A</v>
      </c>
    </row>
    <row r="22" spans="1:4" ht="15">
      <c r="A22" s="201">
        <v>35430</v>
      </c>
      <c r="B22" s="202">
        <v>4848</v>
      </c>
      <c r="C22" s="202">
        <v>93306</v>
      </c>
      <c r="D22" s="203">
        <v>46428</v>
      </c>
    </row>
    <row r="23" spans="1:4" ht="15">
      <c r="A23" s="200">
        <v>35795</v>
      </c>
      <c r="B23" s="87">
        <v>4712</v>
      </c>
      <c r="C23" s="87" t="e">
        <v>#N/A</v>
      </c>
      <c r="D23" s="188" t="e">
        <v>#N/A</v>
      </c>
    </row>
    <row r="24" spans="1:7" ht="15">
      <c r="A24" s="201">
        <v>36160</v>
      </c>
      <c r="B24" s="202">
        <v>4569</v>
      </c>
      <c r="C24" s="202" t="e">
        <v>#N/A</v>
      </c>
      <c r="D24" s="203" t="e">
        <v>#N/A</v>
      </c>
      <c r="G24" s="37"/>
    </row>
    <row r="25" spans="1:7" ht="15">
      <c r="A25" s="200">
        <v>36525</v>
      </c>
      <c r="B25" s="87">
        <v>4794</v>
      </c>
      <c r="C25" s="87" t="e">
        <v>#N/A</v>
      </c>
      <c r="D25" s="188" t="e">
        <v>#N/A</v>
      </c>
      <c r="G25" s="38"/>
    </row>
    <row r="26" spans="1:7" ht="15">
      <c r="A26" s="201">
        <v>36891</v>
      </c>
      <c r="B26" s="202">
        <v>4933</v>
      </c>
      <c r="C26" s="202" t="e">
        <v>#N/A</v>
      </c>
      <c r="D26" s="203" t="e">
        <v>#N/A</v>
      </c>
      <c r="G26" s="38"/>
    </row>
    <row r="27" spans="1:7" ht="15">
      <c r="A27" s="200">
        <v>37256</v>
      </c>
      <c r="B27" s="87">
        <v>4874</v>
      </c>
      <c r="C27" s="87" t="e">
        <v>#N/A</v>
      </c>
      <c r="D27" s="188" t="e">
        <v>#N/A</v>
      </c>
      <c r="G27" s="37"/>
    </row>
    <row r="28" spans="1:4" ht="15">
      <c r="A28" s="201">
        <v>37621</v>
      </c>
      <c r="B28" s="202">
        <v>4763</v>
      </c>
      <c r="C28" s="202">
        <v>97823</v>
      </c>
      <c r="D28" s="203">
        <v>53537</v>
      </c>
    </row>
    <row r="29" spans="1:4" ht="15">
      <c r="A29" s="200">
        <v>37986</v>
      </c>
      <c r="B29" s="87">
        <v>4501</v>
      </c>
      <c r="C29" s="87" t="e">
        <v>#N/A</v>
      </c>
      <c r="D29" s="188" t="e">
        <v>#N/A</v>
      </c>
    </row>
    <row r="30" spans="1:4" ht="15">
      <c r="A30" s="201">
        <v>38352</v>
      </c>
      <c r="B30" s="202">
        <v>4431</v>
      </c>
      <c r="C30" s="202" t="e">
        <v>#N/A</v>
      </c>
      <c r="D30" s="203" t="e">
        <v>#N/A</v>
      </c>
    </row>
    <row r="31" spans="1:4" ht="15">
      <c r="A31" s="200">
        <v>38717</v>
      </c>
      <c r="B31" s="87">
        <v>4467</v>
      </c>
      <c r="C31" s="87" t="e">
        <v>#N/A</v>
      </c>
      <c r="D31" s="188" t="e">
        <v>#N/A</v>
      </c>
    </row>
    <row r="32" spans="1:4" ht="15">
      <c r="A32" s="201">
        <v>39082</v>
      </c>
      <c r="B32" s="202">
        <v>4592</v>
      </c>
      <c r="C32" s="202" t="e">
        <v>#N/A</v>
      </c>
      <c r="D32" s="203" t="e">
        <v>#N/A</v>
      </c>
    </row>
    <row r="33" spans="1:13" ht="15">
      <c r="A33" s="200">
        <v>39447</v>
      </c>
      <c r="B33" s="87">
        <v>4432</v>
      </c>
      <c r="C33" s="87">
        <v>95291</v>
      </c>
      <c r="D33" s="188">
        <v>58351</v>
      </c>
      <c r="M33" s="10"/>
    </row>
    <row r="34" spans="1:4" ht="15">
      <c r="A34" s="201">
        <v>39813</v>
      </c>
      <c r="B34" s="202">
        <v>4492</v>
      </c>
      <c r="C34" s="202">
        <v>94536</v>
      </c>
      <c r="D34" s="203">
        <v>59401</v>
      </c>
    </row>
    <row r="35" spans="1:4" ht="15">
      <c r="A35" s="200">
        <v>40178</v>
      </c>
      <c r="B35" s="87">
        <v>4523</v>
      </c>
      <c r="C35" s="87">
        <v>93656</v>
      </c>
      <c r="D35" s="188">
        <v>60473</v>
      </c>
    </row>
    <row r="36" spans="1:4" ht="15">
      <c r="A36" s="201">
        <v>40543</v>
      </c>
      <c r="B36" s="202">
        <v>4550</v>
      </c>
      <c r="C36" s="202">
        <v>92740</v>
      </c>
      <c r="D36" s="203">
        <v>61510</v>
      </c>
    </row>
    <row r="37" spans="1:4" ht="15">
      <c r="A37" s="200">
        <v>40908</v>
      </c>
      <c r="B37" s="87">
        <v>4574</v>
      </c>
      <c r="C37" s="87">
        <v>91908</v>
      </c>
      <c r="D37" s="188">
        <v>62439</v>
      </c>
    </row>
    <row r="38" spans="1:4" ht="15">
      <c r="A38" s="201">
        <v>41274</v>
      </c>
      <c r="B38" s="202">
        <v>4594</v>
      </c>
      <c r="C38" s="202">
        <v>91243</v>
      </c>
      <c r="D38" s="203">
        <v>63208</v>
      </c>
    </row>
    <row r="39" spans="1:4" ht="15">
      <c r="A39" s="200">
        <v>41639</v>
      </c>
      <c r="B39" s="87">
        <v>4609</v>
      </c>
      <c r="C39" s="87">
        <v>90782</v>
      </c>
      <c r="D39" s="188">
        <v>63793</v>
      </c>
    </row>
    <row r="40" spans="1:4" ht="15">
      <c r="A40" s="201">
        <v>42004</v>
      </c>
      <c r="B40" s="202">
        <v>4618</v>
      </c>
      <c r="C40" s="202">
        <v>90502</v>
      </c>
      <c r="D40" s="203">
        <v>64213</v>
      </c>
    </row>
    <row r="41" spans="1:4" ht="15">
      <c r="A41" s="200">
        <v>42369</v>
      </c>
      <c r="B41" s="87">
        <v>4623</v>
      </c>
      <c r="C41" s="87">
        <v>90350</v>
      </c>
      <c r="D41" s="188">
        <v>64516</v>
      </c>
    </row>
    <row r="42" spans="1:4" ht="15">
      <c r="A42" s="201">
        <v>42735</v>
      </c>
      <c r="B42" s="202">
        <v>4624</v>
      </c>
      <c r="C42" s="202">
        <v>90243</v>
      </c>
      <c r="D42" s="203">
        <v>64769</v>
      </c>
    </row>
    <row r="43" spans="1:4" ht="15">
      <c r="A43" s="200">
        <v>43100</v>
      </c>
      <c r="B43" s="87">
        <v>4597</v>
      </c>
      <c r="C43" s="87">
        <v>90097</v>
      </c>
      <c r="D43" s="188">
        <v>65024</v>
      </c>
    </row>
    <row r="44" spans="1:4" ht="15">
      <c r="A44" s="201">
        <v>43465</v>
      </c>
      <c r="B44" s="202">
        <v>4586</v>
      </c>
      <c r="C44" s="202">
        <v>89914</v>
      </c>
      <c r="D44" s="203">
        <v>65296</v>
      </c>
    </row>
    <row r="45" spans="1:4" ht="15">
      <c r="A45" s="200">
        <v>43830</v>
      </c>
      <c r="B45" s="87">
        <v>4572</v>
      </c>
      <c r="C45" s="87">
        <v>89710</v>
      </c>
      <c r="D45" s="188">
        <v>65575</v>
      </c>
    </row>
    <row r="46" spans="1:4" ht="15">
      <c r="A46" s="201">
        <v>44196</v>
      </c>
      <c r="B46" s="202">
        <v>4555</v>
      </c>
      <c r="C46" s="202">
        <v>89518</v>
      </c>
      <c r="D46" s="203">
        <v>65845</v>
      </c>
    </row>
    <row r="47" spans="1:4" ht="15">
      <c r="A47" s="200">
        <v>44561</v>
      </c>
      <c r="B47" s="87">
        <v>4532</v>
      </c>
      <c r="C47" s="87">
        <v>89372</v>
      </c>
      <c r="D47" s="188">
        <v>66087</v>
      </c>
    </row>
    <row r="48" spans="1:4" ht="15">
      <c r="A48" s="201">
        <v>44926</v>
      </c>
      <c r="B48" s="202">
        <v>4503</v>
      </c>
      <c r="C48" s="202">
        <v>89296</v>
      </c>
      <c r="D48" s="203">
        <v>66287</v>
      </c>
    </row>
    <row r="49" spans="1:4" ht="15">
      <c r="A49" s="200">
        <v>45291</v>
      </c>
      <c r="B49" s="87">
        <v>4466</v>
      </c>
      <c r="C49" s="87">
        <v>89385</v>
      </c>
      <c r="D49" s="188">
        <v>66364</v>
      </c>
    </row>
    <row r="50" spans="1:4" ht="15">
      <c r="A50" s="201">
        <v>45657</v>
      </c>
      <c r="B50" s="202">
        <v>4426</v>
      </c>
      <c r="C50" s="202">
        <v>89436</v>
      </c>
      <c r="D50" s="203">
        <v>66446</v>
      </c>
    </row>
    <row r="51" spans="1:4" ht="15">
      <c r="A51" s="200">
        <v>46022</v>
      </c>
      <c r="B51" s="87">
        <v>4383</v>
      </c>
      <c r="C51" s="87">
        <v>89447</v>
      </c>
      <c r="D51" s="188">
        <v>66549</v>
      </c>
    </row>
    <row r="52" spans="1:4" ht="15">
      <c r="A52" s="201">
        <v>46387</v>
      </c>
      <c r="B52" s="202">
        <v>4340</v>
      </c>
      <c r="C52" s="202">
        <v>89417</v>
      </c>
      <c r="D52" s="203">
        <v>66694</v>
      </c>
    </row>
    <row r="53" spans="1:4" ht="15">
      <c r="A53" s="200">
        <v>46752</v>
      </c>
      <c r="B53" s="87">
        <v>4296</v>
      </c>
      <c r="C53" s="87">
        <v>89345</v>
      </c>
      <c r="D53" s="188">
        <v>66893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X35"/>
  <sheetViews>
    <sheetView zoomScale="80" zoomScaleNormal="80" zoomScalePageLayoutView="0" workbookViewId="0" topLeftCell="A1">
      <selection activeCell="C15" sqref="C15"/>
    </sheetView>
  </sheetViews>
  <sheetFormatPr defaultColWidth="11.421875" defaultRowHeight="15"/>
  <cols>
    <col min="1" max="2" width="18.421875" style="0" customWidth="1"/>
    <col min="3" max="4" width="11.57421875" style="0" customWidth="1"/>
  </cols>
  <sheetData>
    <row r="1" ht="28.5">
      <c r="A1" s="19" t="s">
        <v>66</v>
      </c>
    </row>
    <row r="2" spans="1:4" s="6" customFormat="1" ht="28.5" customHeight="1">
      <c r="A2" s="204" t="s">
        <v>67</v>
      </c>
      <c r="B2" s="205" t="s">
        <v>63</v>
      </c>
      <c r="C2" s="205" t="s">
        <v>64</v>
      </c>
      <c r="D2" s="206" t="s">
        <v>5</v>
      </c>
    </row>
    <row r="3" spans="1:4" s="6" customFormat="1" ht="15">
      <c r="A3" s="60" t="s">
        <v>22</v>
      </c>
      <c r="B3" s="207">
        <v>0</v>
      </c>
      <c r="C3" s="207">
        <v>0</v>
      </c>
      <c r="D3" s="208">
        <v>0</v>
      </c>
    </row>
    <row r="4" spans="1:4" s="6" customFormat="1" ht="15">
      <c r="A4" s="63" t="s">
        <v>23</v>
      </c>
      <c r="B4" s="209">
        <v>0</v>
      </c>
      <c r="C4" s="209">
        <v>0</v>
      </c>
      <c r="D4" s="210">
        <v>0</v>
      </c>
    </row>
    <row r="5" spans="1:4" s="6" customFormat="1" ht="15">
      <c r="A5" s="60" t="s">
        <v>24</v>
      </c>
      <c r="B5" s="207">
        <v>0</v>
      </c>
      <c r="C5" s="207">
        <v>0</v>
      </c>
      <c r="D5" s="208">
        <v>0</v>
      </c>
    </row>
    <row r="6" spans="1:4" s="6" customFormat="1" ht="15">
      <c r="A6" s="63" t="s">
        <v>25</v>
      </c>
      <c r="B6" s="209">
        <v>18.952934167411378</v>
      </c>
      <c r="C6" s="209">
        <v>9.903324687573685</v>
      </c>
      <c r="D6" s="210">
        <v>14.550112806393637</v>
      </c>
    </row>
    <row r="7" spans="1:4" s="6" customFormat="1" ht="15">
      <c r="A7" s="60" t="s">
        <v>26</v>
      </c>
      <c r="B7" s="207">
        <v>72.02040636819422</v>
      </c>
      <c r="C7" s="207">
        <v>53.51245202177988</v>
      </c>
      <c r="D7" s="208">
        <v>62.83448520290625</v>
      </c>
    </row>
    <row r="8" spans="1:4" s="6" customFormat="1" ht="15">
      <c r="A8" s="63" t="s">
        <v>27</v>
      </c>
      <c r="B8" s="209">
        <v>85.32852407876778</v>
      </c>
      <c r="C8" s="209">
        <v>68.1386751923269</v>
      </c>
      <c r="D8" s="210">
        <v>76.8391967237381</v>
      </c>
    </row>
    <row r="9" spans="1:4" s="6" customFormat="1" ht="15">
      <c r="A9" s="60" t="s">
        <v>28</v>
      </c>
      <c r="B9" s="207">
        <v>87.72970345162858</v>
      </c>
      <c r="C9" s="207">
        <v>68.97078285656113</v>
      </c>
      <c r="D9" s="208">
        <v>78.56574497712353</v>
      </c>
    </row>
    <row r="10" spans="1:4" s="6" customFormat="1" ht="15">
      <c r="A10" s="63" t="s">
        <v>29</v>
      </c>
      <c r="B10" s="209">
        <v>87.53703703703704</v>
      </c>
      <c r="C10" s="209">
        <v>66.94664031620553</v>
      </c>
      <c r="D10" s="210">
        <v>77.57648183556405</v>
      </c>
    </row>
    <row r="11" spans="1:4" s="6" customFormat="1" ht="15">
      <c r="A11" s="60" t="s">
        <v>30</v>
      </c>
      <c r="B11" s="207">
        <v>87.27096461463888</v>
      </c>
      <c r="C11" s="207">
        <v>65.43364681295716</v>
      </c>
      <c r="D11" s="208">
        <v>76.76137792305758</v>
      </c>
    </row>
    <row r="12" spans="1:4" s="6" customFormat="1" ht="15">
      <c r="A12" s="63" t="s">
        <v>31</v>
      </c>
      <c r="B12" s="209">
        <v>85.56762564163782</v>
      </c>
      <c r="C12" s="209">
        <v>60.4635935044526</v>
      </c>
      <c r="D12" s="210">
        <v>73.59645288203335</v>
      </c>
    </row>
    <row r="13" spans="1:4" s="6" customFormat="1" ht="15">
      <c r="A13" s="60" t="s">
        <v>32</v>
      </c>
      <c r="B13" s="207">
        <v>72.866490324377</v>
      </c>
      <c r="C13" s="207">
        <v>50.938461538461546</v>
      </c>
      <c r="D13" s="208">
        <v>62.44975517064971</v>
      </c>
    </row>
    <row r="14" spans="1:4" s="6" customFormat="1" ht="15">
      <c r="A14" s="63" t="s">
        <v>33</v>
      </c>
      <c r="B14" s="209">
        <v>52.473704713673555</v>
      </c>
      <c r="C14" s="209">
        <v>33.284580025073126</v>
      </c>
      <c r="D14" s="210">
        <v>43.21572580645161</v>
      </c>
    </row>
    <row r="15" spans="1:4" s="6" customFormat="1" ht="15">
      <c r="A15" s="60" t="s">
        <v>34</v>
      </c>
      <c r="B15" s="207">
        <v>25</v>
      </c>
      <c r="C15" s="207">
        <v>14.887940234791888</v>
      </c>
      <c r="D15" s="208">
        <v>20.153452685421993</v>
      </c>
    </row>
    <row r="16" spans="1:4" s="6" customFormat="1" ht="15">
      <c r="A16" s="63" t="s">
        <v>35</v>
      </c>
      <c r="B16" s="209">
        <v>12.040682414698162</v>
      </c>
      <c r="C16" s="209">
        <v>6.380753138075314</v>
      </c>
      <c r="D16" s="210">
        <v>9.296822177146721</v>
      </c>
    </row>
    <row r="17" spans="1:4" s="6" customFormat="1" ht="15">
      <c r="A17" s="60" t="s">
        <v>36</v>
      </c>
      <c r="B17" s="207">
        <v>6.951620479098168</v>
      </c>
      <c r="C17" s="207">
        <v>2.8557829604950022</v>
      </c>
      <c r="D17" s="208">
        <v>4.91725768321513</v>
      </c>
    </row>
    <row r="18" spans="1:4" s="6" customFormat="1" ht="15">
      <c r="A18" s="63" t="s">
        <v>37</v>
      </c>
      <c r="B18" s="209">
        <v>5.739692805173808</v>
      </c>
      <c r="C18" s="209">
        <v>1.8142235123367199</v>
      </c>
      <c r="D18" s="210">
        <v>3.67112810707457</v>
      </c>
    </row>
    <row r="19" spans="1:4" s="6" customFormat="1" ht="15">
      <c r="A19" s="60" t="s">
        <v>38</v>
      </c>
      <c r="B19" s="207">
        <v>1.8450184501845017</v>
      </c>
      <c r="C19" s="207">
        <v>0.9501187648456058</v>
      </c>
      <c r="D19" s="208">
        <v>1.300578034682081</v>
      </c>
    </row>
    <row r="20" spans="1:4" s="6" customFormat="1" ht="15">
      <c r="A20" s="63" t="s">
        <v>41</v>
      </c>
      <c r="B20" s="209">
        <v>64.68389403542987</v>
      </c>
      <c r="C20" s="209">
        <v>47.206811198361216</v>
      </c>
      <c r="D20" s="210">
        <v>56.15997835317626</v>
      </c>
    </row>
    <row r="22" spans="2:24" ht="15">
      <c r="B22" s="20"/>
      <c r="C22" s="20"/>
      <c r="H22" s="20"/>
      <c r="N22" s="20"/>
      <c r="S22" s="20"/>
      <c r="X22" s="20"/>
    </row>
    <row r="23" spans="2:24" ht="15">
      <c r="B23" s="20"/>
      <c r="C23" s="20"/>
      <c r="H23" s="20"/>
      <c r="N23" s="20"/>
      <c r="S23" s="20"/>
      <c r="X23" s="20"/>
    </row>
    <row r="24" spans="2:24" ht="15">
      <c r="B24" s="20"/>
      <c r="C24" s="20"/>
      <c r="H24" s="20"/>
      <c r="N24" s="20"/>
      <c r="S24" s="20"/>
      <c r="X24" s="20"/>
    </row>
    <row r="25" spans="2:24" ht="15">
      <c r="B25" s="20"/>
      <c r="C25" s="20"/>
      <c r="H25" s="20"/>
      <c r="N25" s="20"/>
      <c r="S25" s="20"/>
      <c r="X25" s="20"/>
    </row>
    <row r="26" spans="2:24" ht="15">
      <c r="B26" s="20"/>
      <c r="C26" s="20"/>
      <c r="H26" s="20"/>
      <c r="N26" s="20"/>
      <c r="S26" s="20"/>
      <c r="X26" s="20"/>
    </row>
    <row r="27" spans="2:24" ht="15">
      <c r="B27" s="20"/>
      <c r="C27" s="20"/>
      <c r="H27" s="20"/>
      <c r="N27" s="20"/>
      <c r="S27" s="20"/>
      <c r="X27" s="20"/>
    </row>
    <row r="28" spans="2:24" ht="15">
      <c r="B28" s="20"/>
      <c r="C28" s="20"/>
      <c r="H28" s="20"/>
      <c r="N28" s="20"/>
      <c r="S28" s="20"/>
      <c r="X28" s="20"/>
    </row>
    <row r="29" spans="2:24" ht="15">
      <c r="B29" s="20"/>
      <c r="C29" s="20"/>
      <c r="H29" s="20"/>
      <c r="N29" s="20"/>
      <c r="S29" s="20"/>
      <c r="X29" s="20"/>
    </row>
    <row r="30" spans="2:24" ht="15">
      <c r="B30" s="20"/>
      <c r="C30" s="20"/>
      <c r="H30" s="20"/>
      <c r="N30" s="20"/>
      <c r="S30" s="20"/>
      <c r="X30" s="20"/>
    </row>
    <row r="31" spans="2:24" ht="15">
      <c r="B31" s="20"/>
      <c r="C31" s="20"/>
      <c r="H31" s="20"/>
      <c r="N31" s="20"/>
      <c r="S31" s="20"/>
      <c r="X31" s="20"/>
    </row>
    <row r="32" spans="2:24" ht="15">
      <c r="B32" s="20"/>
      <c r="C32" s="20"/>
      <c r="H32" s="20"/>
      <c r="N32" s="20"/>
      <c r="S32" s="20"/>
      <c r="X32" s="20"/>
    </row>
    <row r="33" spans="2:24" ht="15">
      <c r="B33" s="20"/>
      <c r="C33" s="20"/>
      <c r="H33" s="20"/>
      <c r="N33" s="20"/>
      <c r="S33" s="20"/>
      <c r="X33" s="20"/>
    </row>
    <row r="34" spans="2:24" ht="15">
      <c r="B34" s="20"/>
      <c r="H34" s="20"/>
      <c r="N34" s="20"/>
      <c r="S34" s="20"/>
      <c r="X34" s="20"/>
    </row>
    <row r="35" ht="15">
      <c r="H35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xavierm</dc:creator>
  <cp:keywords/>
  <dc:description/>
  <cp:lastModifiedBy>patriciaa</cp:lastModifiedBy>
  <dcterms:created xsi:type="dcterms:W3CDTF">2009-02-04T19:42:34Z</dcterms:created>
  <dcterms:modified xsi:type="dcterms:W3CDTF">2009-04-24T01:14:30Z</dcterms:modified>
  <cp:category/>
  <cp:version/>
  <cp:contentType/>
  <cp:contentStatus/>
</cp:coreProperties>
</file>